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240" yWindow="120" windowWidth="20055" windowHeight="9210" firstSheet="8" activeTab="12"/>
  </bookViews>
  <sheets>
    <sheet name="बिबिध  " sheetId="28" r:id="rId1"/>
    <sheet name="सिमा विकास कार्यक्रम ०७३  ०७४" sheetId="27" r:id="rId2"/>
    <sheet name="सिमा विकास कार्यक्रम ०७४ ०७५ " sheetId="26" r:id="rId3"/>
    <sheet name="संसोधित बाट संचालन हुने योजनाहर" sheetId="24" r:id="rId4"/>
    <sheet name="RUDP" sheetId="23" r:id="rId5"/>
    <sheet name="सडक बोर्ड नेपाल " sheetId="22" r:id="rId6"/>
    <sheet name="नगर क्षेत्र पूर्वाधार कार्यक्रम" sheetId="21" r:id="rId7"/>
    <sheet name="ठुला पूर्वाधार सम्बन्धी योजना " sheetId="20" r:id="rId8"/>
    <sheet name="प्रवर्धनात्मक " sheetId="19" r:id="rId9"/>
    <sheet name="पूर्वाधार " sheetId="18" r:id="rId10"/>
    <sheet name="पिछडा बर्ग " sheetId="17" r:id="rId11"/>
    <sheet name="बालबालिका " sheetId="16" r:id="rId12"/>
    <sheet name="महिला " sheetId="11" r:id="rId13"/>
  </sheets>
  <definedNames>
    <definedName name="_xlnm.Print_Area" localSheetId="4">RUDP!$A$1:$K$30</definedName>
    <definedName name="_xlnm.Print_Area" localSheetId="7">'ठुला पूर्वाधार सम्बन्धी योजना '!$A$1:$K$12</definedName>
    <definedName name="_xlnm.Print_Area" localSheetId="6">'नगर क्षेत्र पूर्वाधार कार्यक्रम'!$A$1:$K$17</definedName>
    <definedName name="_xlnm.Print_Area" localSheetId="10">'पिछडा बर्ग '!$A$1:$K$83</definedName>
    <definedName name="_xlnm.Print_Area" localSheetId="9">'पूर्वाधार '!$A$1:$K$73</definedName>
    <definedName name="_xlnm.Print_Area" localSheetId="8">'प्रवर्धनात्मक '!$A$1:$K$146</definedName>
    <definedName name="_xlnm.Print_Area" localSheetId="11">'बालबालिका '!$A$1:$K$98</definedName>
    <definedName name="_xlnm.Print_Area" localSheetId="0">'बिबिध  '!$A$1:$D$34</definedName>
    <definedName name="_xlnm.Print_Area" localSheetId="12">'महिला '!$A$1:$K$103</definedName>
    <definedName name="_xlnm.Print_Area" localSheetId="3">'संसोधित बाट संचालन हुने योजनाहर'!$A$1:$K$66</definedName>
    <definedName name="_xlnm.Print_Area" localSheetId="5">'सडक बोर्ड नेपाल '!$A$1:$K$18</definedName>
    <definedName name="_xlnm.Print_Area" localSheetId="1">'सिमा विकास कार्यक्रम ०७३  ०७४'!$A$1:$K$32</definedName>
    <definedName name="_xlnm.Print_Area" localSheetId="2">'सिमा विकास कार्यक्रम ०७४ ०७५ '!$A$1:$K$32</definedName>
    <definedName name="_xlnm.Print_Titles" localSheetId="4">RUDP!$1:$7</definedName>
    <definedName name="_xlnm.Print_Titles" localSheetId="7">'ठुला पूर्वाधार सम्बन्धी योजना '!$1:$7</definedName>
    <definedName name="_xlnm.Print_Titles" localSheetId="6">'नगर क्षेत्र पूर्वाधार कार्यक्रम'!$1:$7</definedName>
    <definedName name="_xlnm.Print_Titles" localSheetId="10">'पिछडा बर्ग '!$1:$7</definedName>
    <definedName name="_xlnm.Print_Titles" localSheetId="9">'पूर्वाधार '!$1:$7</definedName>
    <definedName name="_xlnm.Print_Titles" localSheetId="8">'प्रवर्धनात्मक '!$1:$7</definedName>
    <definedName name="_xlnm.Print_Titles" localSheetId="11">'बालबालिका '!$1:$7</definedName>
    <definedName name="_xlnm.Print_Titles" localSheetId="0">'बिबिध  '!$1:$6</definedName>
    <definedName name="_xlnm.Print_Titles" localSheetId="12">'महिला '!$1:$7</definedName>
    <definedName name="_xlnm.Print_Titles" localSheetId="3">'संसोधित बाट संचालन हुने योजनाहर'!$1:$7</definedName>
    <definedName name="_xlnm.Print_Titles" localSheetId="5">'सडक बोर्ड नेपाल '!$1:$7</definedName>
    <definedName name="_xlnm.Print_Titles" localSheetId="1">'सिमा विकास कार्यक्रम ०७३  ०७४'!$1:$7</definedName>
    <definedName name="_xlnm.Print_Titles" localSheetId="2">'सिमा विकास कार्यक्रम ०७४ ०७५ '!$1:$7</definedName>
  </definedNames>
  <calcPr calcId="152511"/>
</workbook>
</file>

<file path=xl/calcChain.xml><?xml version="1.0" encoding="utf-8"?>
<calcChain xmlns="http://schemas.openxmlformats.org/spreadsheetml/2006/main">
  <c r="C32" i="28" l="1"/>
  <c r="C13" i="28"/>
  <c r="C33" i="28"/>
  <c r="C8" i="28" l="1"/>
  <c r="C7" i="28"/>
  <c r="C30" i="28"/>
  <c r="C10" i="28"/>
  <c r="C12" i="28"/>
  <c r="C27" i="28"/>
  <c r="C14" i="28"/>
  <c r="C23" i="28"/>
  <c r="C15" i="28"/>
  <c r="C11" i="28"/>
  <c r="D31" i="28"/>
  <c r="C34" i="28" l="1"/>
  <c r="C31" i="28"/>
  <c r="C29" i="28"/>
  <c r="C28" i="28"/>
  <c r="C26" i="28"/>
  <c r="C25" i="28"/>
  <c r="C24" i="28"/>
  <c r="C22" i="28"/>
  <c r="C21" i="28"/>
  <c r="C20" i="28"/>
  <c r="C19" i="28"/>
  <c r="C18" i="28"/>
  <c r="C17" i="28"/>
  <c r="C16" i="28"/>
  <c r="C9" i="28"/>
  <c r="D30" i="28" l="1"/>
  <c r="F18" i="22" l="1"/>
  <c r="F27" i="26"/>
  <c r="F28" i="26"/>
  <c r="F30" i="26"/>
  <c r="F10" i="20" l="1"/>
  <c r="F84" i="19" l="1"/>
  <c r="F66" i="19"/>
  <c r="F31" i="27" l="1"/>
  <c r="F30" i="27"/>
  <c r="F29" i="27"/>
  <c r="F28" i="27"/>
  <c r="F27" i="27"/>
  <c r="F26" i="27"/>
  <c r="F25" i="27"/>
  <c r="F24" i="27"/>
  <c r="F23" i="27"/>
  <c r="F22" i="27"/>
  <c r="F21" i="27"/>
  <c r="F20" i="27"/>
  <c r="F19" i="27"/>
  <c r="F18" i="27"/>
  <c r="F17" i="27"/>
  <c r="F16" i="27"/>
  <c r="F14" i="27"/>
  <c r="F13" i="27"/>
  <c r="F12" i="27"/>
  <c r="F11" i="27"/>
  <c r="F10" i="27"/>
  <c r="F14" i="26"/>
  <c r="F13" i="26"/>
  <c r="F12" i="26"/>
  <c r="F11" i="26"/>
  <c r="F10" i="26"/>
  <c r="F16" i="26"/>
  <c r="F31" i="26"/>
  <c r="F29" i="26"/>
  <c r="F26" i="26"/>
  <c r="F25" i="26"/>
  <c r="F24" i="26"/>
  <c r="F23" i="26"/>
  <c r="F22" i="26"/>
  <c r="F21" i="26"/>
  <c r="F20" i="26"/>
  <c r="F19" i="26"/>
  <c r="F18" i="26"/>
  <c r="F17" i="26"/>
  <c r="F12" i="24"/>
  <c r="F14" i="24"/>
  <c r="F11" i="24"/>
  <c r="E28" i="23"/>
  <c r="F32" i="27" l="1"/>
  <c r="F32" i="26"/>
  <c r="F28" i="24"/>
  <c r="F15" i="24"/>
  <c r="F64" i="24"/>
  <c r="F61" i="24"/>
  <c r="F63" i="24"/>
  <c r="F62" i="24"/>
  <c r="F65" i="24"/>
  <c r="E61" i="24" l="1"/>
  <c r="F60" i="24" l="1"/>
  <c r="F59" i="24"/>
  <c r="E59" i="24"/>
  <c r="F58" i="24"/>
  <c r="F57" i="24"/>
  <c r="F56" i="24"/>
  <c r="F55" i="24"/>
  <c r="F54" i="24"/>
  <c r="E55" i="24"/>
  <c r="F53" i="24"/>
  <c r="E53" i="24"/>
  <c r="F52" i="24"/>
  <c r="E52" i="24"/>
  <c r="E51" i="24"/>
  <c r="F51" i="24"/>
  <c r="F50" i="24"/>
  <c r="E50" i="24"/>
  <c r="F49" i="24"/>
  <c r="E49" i="24"/>
  <c r="F48" i="24"/>
  <c r="E48" i="24"/>
  <c r="E47" i="24"/>
  <c r="F47" i="24"/>
  <c r="F46" i="24"/>
  <c r="E46" i="24"/>
  <c r="F45" i="24"/>
  <c r="E45" i="24"/>
  <c r="F44" i="24"/>
  <c r="F43" i="24"/>
  <c r="E43" i="24"/>
  <c r="F42" i="24"/>
  <c r="E42" i="24"/>
  <c r="F41" i="24"/>
  <c r="E41" i="24"/>
  <c r="F40" i="24"/>
  <c r="E40" i="24"/>
  <c r="E39" i="24"/>
  <c r="F39" i="24"/>
  <c r="F38" i="24"/>
  <c r="E38" i="24"/>
  <c r="F37" i="24"/>
  <c r="E37" i="24"/>
  <c r="F36" i="24"/>
  <c r="F35" i="24"/>
  <c r="F34" i="24"/>
  <c r="F33" i="24"/>
  <c r="F32" i="24"/>
  <c r="F31" i="24"/>
  <c r="E31" i="24"/>
  <c r="F30" i="24"/>
  <c r="F29" i="24"/>
  <c r="E28" i="24"/>
  <c r="F27" i="24"/>
  <c r="E27" i="24"/>
  <c r="F26" i="24"/>
  <c r="F25" i="24"/>
  <c r="E26" i="24"/>
  <c r="E25" i="24"/>
  <c r="F24" i="24"/>
  <c r="F23" i="24"/>
  <c r="F22" i="24"/>
  <c r="F21" i="24"/>
  <c r="F20" i="24"/>
  <c r="F19" i="24"/>
  <c r="F18" i="24"/>
  <c r="F17" i="24"/>
  <c r="F16" i="24" l="1"/>
  <c r="F13" i="24"/>
  <c r="E13" i="24"/>
  <c r="E12" i="24"/>
  <c r="E11" i="24"/>
  <c r="F66" i="24" l="1"/>
  <c r="F30" i="23"/>
  <c r="E21" i="23"/>
  <c r="E20" i="23"/>
  <c r="E19" i="23"/>
  <c r="E18" i="23"/>
  <c r="E16" i="23"/>
  <c r="E15" i="23"/>
  <c r="E14" i="23"/>
  <c r="E13" i="23"/>
  <c r="E12" i="23"/>
  <c r="E11" i="23"/>
  <c r="E10" i="23"/>
  <c r="E9" i="23"/>
  <c r="F10" i="21"/>
  <c r="F11" i="20"/>
  <c r="F9" i="20"/>
  <c r="F12" i="20" s="1"/>
  <c r="F24" i="18" l="1"/>
  <c r="F23" i="18"/>
  <c r="F22" i="18"/>
  <c r="F16" i="18"/>
  <c r="F12" i="11"/>
  <c r="F13" i="11"/>
  <c r="F10" i="18"/>
  <c r="F9" i="18"/>
  <c r="E67" i="19" l="1"/>
  <c r="E66" i="19"/>
  <c r="E65" i="19"/>
  <c r="E58" i="19"/>
  <c r="E52" i="19"/>
  <c r="E51" i="19"/>
  <c r="E45" i="19"/>
  <c r="E49" i="19" s="1"/>
  <c r="E44" i="19"/>
  <c r="E43" i="19"/>
  <c r="E47" i="19" s="1"/>
  <c r="E42" i="19"/>
  <c r="E46" i="19" s="1"/>
  <c r="E40" i="19"/>
  <c r="E41" i="19"/>
  <c r="E35" i="19"/>
  <c r="E36" i="19"/>
  <c r="E37" i="19"/>
  <c r="E38" i="19"/>
  <c r="E39" i="19"/>
  <c r="E34" i="19"/>
  <c r="E30" i="19"/>
  <c r="E29" i="19"/>
  <c r="E25" i="19"/>
  <c r="E28" i="19" s="1"/>
  <c r="E23" i="19"/>
  <c r="E24" i="19"/>
  <c r="E26" i="19" s="1"/>
  <c r="E22" i="19"/>
  <c r="E21" i="19"/>
  <c r="E27" i="19" s="1"/>
  <c r="E31" i="19" s="1"/>
  <c r="E20" i="19"/>
  <c r="E10" i="19"/>
  <c r="E11" i="19"/>
  <c r="E12" i="19"/>
  <c r="E13" i="19"/>
  <c r="E14" i="19"/>
  <c r="E15" i="19"/>
  <c r="E16" i="19"/>
  <c r="E17" i="19"/>
  <c r="E18" i="19"/>
  <c r="E19" i="19"/>
  <c r="E9" i="19"/>
  <c r="E53" i="18" l="1"/>
  <c r="E42" i="18" l="1"/>
  <c r="E47" i="18" l="1"/>
  <c r="E46" i="18"/>
  <c r="F45" i="18" l="1"/>
  <c r="E41" i="18"/>
  <c r="E39" i="18"/>
  <c r="E40" i="18"/>
  <c r="E38" i="18"/>
  <c r="E37" i="18"/>
  <c r="E36" i="18"/>
  <c r="E33" i="18"/>
  <c r="E34" i="18"/>
  <c r="E35" i="18"/>
  <c r="E32" i="18"/>
  <c r="E31" i="18"/>
  <c r="E29" i="18"/>
  <c r="E27" i="18"/>
  <c r="E28" i="18"/>
  <c r="E26" i="18"/>
  <c r="E25" i="18"/>
  <c r="E24" i="18"/>
  <c r="E23" i="18"/>
  <c r="E22" i="18"/>
  <c r="E20" i="18"/>
  <c r="E21" i="18"/>
  <c r="E18" i="18"/>
  <c r="E19" i="18"/>
  <c r="E17" i="18"/>
  <c r="E12" i="18"/>
  <c r="E13" i="18"/>
  <c r="E14" i="18"/>
  <c r="E11" i="18"/>
  <c r="E10" i="18"/>
  <c r="E9" i="18"/>
  <c r="F40" i="18"/>
  <c r="F31" i="18"/>
  <c r="F30" i="18" l="1"/>
  <c r="F34" i="18"/>
  <c r="F27" i="18"/>
  <c r="F20" i="18"/>
  <c r="F17" i="18"/>
  <c r="F57" i="18"/>
  <c r="F28" i="18"/>
  <c r="E16" i="18"/>
  <c r="F132" i="19" l="1"/>
  <c r="F107" i="19"/>
  <c r="F65" i="19"/>
  <c r="F46" i="19"/>
  <c r="F35" i="19"/>
  <c r="F36" i="19"/>
  <c r="F37" i="19"/>
  <c r="F38" i="19"/>
  <c r="F39" i="19"/>
  <c r="F40" i="19"/>
  <c r="F41" i="19"/>
  <c r="F34" i="19"/>
  <c r="F134" i="19" l="1"/>
  <c r="F135" i="19"/>
  <c r="F136" i="19"/>
  <c r="F137" i="19"/>
  <c r="F133" i="19"/>
  <c r="E132" i="19"/>
  <c r="F118" i="19"/>
  <c r="F112" i="19"/>
  <c r="F92" i="19"/>
  <c r="F91" i="19"/>
  <c r="F87" i="19"/>
  <c r="E71" i="19"/>
  <c r="F27" i="17"/>
  <c r="F43" i="17"/>
  <c r="F19" i="16"/>
  <c r="F40" i="16"/>
  <c r="F31" i="16"/>
  <c r="F34" i="16"/>
  <c r="E36" i="16"/>
  <c r="F51" i="16"/>
  <c r="F72" i="16"/>
  <c r="F47" i="16"/>
  <c r="F48" i="16"/>
  <c r="F49" i="16"/>
  <c r="F50" i="16"/>
  <c r="F46" i="16"/>
  <c r="F15" i="11"/>
  <c r="E15" i="11"/>
  <c r="F67" i="19" l="1"/>
  <c r="F52" i="19"/>
  <c r="F19" i="11"/>
  <c r="F83" i="17"/>
  <c r="E59" i="16"/>
  <c r="E58" i="16"/>
  <c r="F57" i="19"/>
  <c r="F25" i="11"/>
  <c r="F29" i="19"/>
  <c r="F23" i="11"/>
  <c r="E23" i="11"/>
  <c r="F76" i="17"/>
  <c r="F75" i="17"/>
  <c r="F89" i="19" l="1"/>
  <c r="F121" i="19"/>
  <c r="E34" i="16"/>
  <c r="E28" i="16"/>
  <c r="E30" i="16"/>
  <c r="E27" i="16"/>
  <c r="F31" i="17" l="1"/>
  <c r="F32" i="17"/>
  <c r="F14" i="17"/>
  <c r="E14" i="17"/>
  <c r="F71" i="16" l="1"/>
  <c r="F32" i="16"/>
  <c r="F33" i="17"/>
  <c r="F30" i="17"/>
  <c r="F29" i="17"/>
  <c r="F26" i="17"/>
  <c r="F18" i="17"/>
  <c r="F16" i="17"/>
  <c r="F12" i="17"/>
  <c r="F11" i="17"/>
  <c r="F24" i="16" l="1"/>
  <c r="F86" i="19"/>
  <c r="F85" i="19"/>
  <c r="F145" i="19"/>
  <c r="F120" i="19"/>
  <c r="F119" i="19"/>
  <c r="F109" i="19"/>
  <c r="F16" i="21"/>
  <c r="F15" i="21"/>
  <c r="F14" i="21"/>
  <c r="F13" i="21"/>
  <c r="F12" i="21"/>
  <c r="F11" i="21"/>
  <c r="F9" i="21"/>
  <c r="F17" i="21" s="1"/>
  <c r="E9" i="20"/>
  <c r="F73" i="19" l="1"/>
  <c r="F59" i="19"/>
  <c r="F58" i="19"/>
  <c r="F56" i="19"/>
  <c r="F144" i="19" l="1"/>
  <c r="F143" i="19"/>
  <c r="F142" i="19"/>
  <c r="F141" i="19"/>
  <c r="F140" i="19"/>
  <c r="F139" i="19"/>
  <c r="F138" i="19"/>
  <c r="F100" i="19"/>
  <c r="F99" i="19"/>
  <c r="F98" i="19"/>
  <c r="F97" i="19"/>
  <c r="F96" i="19"/>
  <c r="F81" i="19"/>
  <c r="F51" i="19" l="1"/>
  <c r="F50" i="19"/>
  <c r="F47" i="19" l="1"/>
  <c r="F45" i="19"/>
  <c r="F44" i="19"/>
  <c r="F80" i="19" l="1"/>
  <c r="F43" i="19"/>
  <c r="F42" i="19"/>
  <c r="F93" i="19" l="1"/>
  <c r="F33" i="19"/>
  <c r="F32" i="19"/>
  <c r="F31" i="19"/>
  <c r="F30" i="19" l="1"/>
  <c r="F131" i="19" l="1"/>
  <c r="F130" i="19"/>
  <c r="F129" i="19"/>
  <c r="F79" i="19"/>
  <c r="F72" i="19"/>
  <c r="F71" i="19"/>
  <c r="F128" i="19" l="1"/>
  <c r="F127" i="19"/>
  <c r="F126" i="19"/>
  <c r="F125" i="19"/>
  <c r="F124" i="19"/>
  <c r="F123" i="19"/>
  <c r="F122" i="19"/>
  <c r="F70" i="19"/>
  <c r="F69" i="19"/>
  <c r="F68" i="19"/>
  <c r="F28" i="19" l="1"/>
  <c r="F117" i="19" l="1"/>
  <c r="E117" i="19"/>
  <c r="F116" i="19"/>
  <c r="E116" i="19"/>
  <c r="F115" i="19"/>
  <c r="F114" i="19"/>
  <c r="F113" i="19"/>
  <c r="E113" i="19"/>
  <c r="F111" i="19"/>
  <c r="F110" i="19"/>
  <c r="F108" i="19"/>
  <c r="F90" i="19" l="1"/>
  <c r="F88" i="19"/>
  <c r="F27" i="19" l="1"/>
  <c r="F26" i="19"/>
  <c r="F25" i="19"/>
  <c r="F24" i="19" l="1"/>
  <c r="F23" i="19"/>
  <c r="F22" i="19"/>
  <c r="F21" i="19"/>
  <c r="F20" i="19"/>
  <c r="F72" i="18" l="1"/>
  <c r="F47" i="18"/>
  <c r="F46" i="18" l="1"/>
  <c r="F71" i="18" l="1"/>
  <c r="F42" i="18" l="1"/>
  <c r="F41" i="18" l="1"/>
  <c r="F39" i="18" l="1"/>
  <c r="F38" i="18"/>
  <c r="F37" i="18"/>
  <c r="F36" i="18" l="1"/>
  <c r="F35" i="18"/>
  <c r="F70" i="18" l="1"/>
  <c r="F33" i="18" l="1"/>
  <c r="F32" i="18"/>
  <c r="E30" i="18" l="1"/>
  <c r="F29" i="18" l="1"/>
  <c r="F56" i="18"/>
  <c r="F69" i="18" l="1"/>
  <c r="F26" i="18"/>
  <c r="F25" i="18"/>
  <c r="F21" i="18" l="1"/>
  <c r="F19" i="18" l="1"/>
  <c r="F18" i="18"/>
  <c r="F15" i="18" l="1"/>
  <c r="E15" i="18"/>
  <c r="F14" i="18" l="1"/>
  <c r="F13" i="18"/>
  <c r="F12" i="18"/>
  <c r="F79" i="17" l="1"/>
  <c r="F78" i="17"/>
  <c r="F77" i="17"/>
  <c r="F74" i="17"/>
  <c r="F73" i="17"/>
  <c r="F72" i="17"/>
  <c r="F71" i="17"/>
  <c r="F70" i="17"/>
  <c r="F69" i="17"/>
  <c r="F36" i="17"/>
  <c r="F35" i="17"/>
  <c r="F34" i="17"/>
  <c r="F62" i="17" l="1"/>
  <c r="F61" i="17"/>
  <c r="F28" i="17"/>
  <c r="F41" i="17" l="1"/>
  <c r="F60" i="17" l="1"/>
  <c r="F59" i="17"/>
  <c r="F25" i="17"/>
  <c r="F24" i="17"/>
  <c r="F23" i="17" l="1"/>
  <c r="F58" i="17" l="1"/>
  <c r="F22" i="17"/>
  <c r="E22" i="17"/>
  <c r="F21" i="17"/>
  <c r="F20" i="17"/>
  <c r="F40" i="17" l="1"/>
  <c r="F19" i="17"/>
  <c r="F17" i="17"/>
  <c r="F57" i="17" l="1"/>
  <c r="F15" i="17"/>
  <c r="F56" i="17" l="1"/>
  <c r="F55" i="17"/>
  <c r="F13" i="17"/>
  <c r="F54" i="17" l="1"/>
  <c r="F53" i="17"/>
  <c r="F10" i="17"/>
  <c r="F52" i="17" l="1"/>
  <c r="F39" i="17"/>
  <c r="F9" i="17"/>
  <c r="F77" i="16" l="1"/>
  <c r="F76" i="16"/>
  <c r="F75" i="16"/>
  <c r="F74" i="16"/>
  <c r="F73" i="16"/>
  <c r="F70" i="16"/>
  <c r="F69" i="16"/>
  <c r="F68" i="16"/>
  <c r="F67" i="16"/>
  <c r="F66" i="16"/>
  <c r="F65" i="16"/>
  <c r="F64" i="16"/>
  <c r="F63" i="16"/>
  <c r="F62" i="16"/>
  <c r="F61" i="16"/>
  <c r="F94" i="16" l="1"/>
  <c r="F60" i="16"/>
  <c r="E60" i="16"/>
  <c r="F93" i="16" l="1"/>
  <c r="F92" i="16"/>
  <c r="F58" i="16"/>
  <c r="F89" i="16" l="1"/>
  <c r="F55" i="16"/>
  <c r="F54" i="16"/>
  <c r="F53" i="16"/>
  <c r="F52" i="16"/>
  <c r="F45" i="16" l="1"/>
  <c r="F44" i="16"/>
  <c r="F43" i="16"/>
  <c r="F42" i="16"/>
  <c r="F41" i="16"/>
  <c r="F39" i="16" l="1"/>
  <c r="F38" i="16"/>
  <c r="F87" i="16" l="1"/>
  <c r="F36" i="16"/>
  <c r="F35" i="16"/>
  <c r="F33" i="16" l="1"/>
  <c r="F86" i="16" l="1"/>
  <c r="F85" i="16" l="1"/>
  <c r="F84" i="16"/>
  <c r="F30" i="16"/>
  <c r="F29" i="16"/>
  <c r="F28" i="16"/>
  <c r="F27" i="16"/>
  <c r="F83" i="16" l="1"/>
  <c r="F26" i="16"/>
  <c r="F25" i="16"/>
  <c r="F23" i="16"/>
  <c r="F82" i="16" l="1"/>
  <c r="F22" i="16"/>
  <c r="F21" i="16"/>
  <c r="F20" i="16" l="1"/>
  <c r="F18" i="16" l="1"/>
  <c r="F17" i="16"/>
  <c r="F16" i="16"/>
  <c r="F15" i="16"/>
  <c r="F14" i="16" l="1"/>
  <c r="F13" i="16"/>
  <c r="F12" i="16"/>
  <c r="F93" i="11" l="1"/>
  <c r="F92" i="11"/>
  <c r="F91" i="11"/>
  <c r="F90" i="11"/>
  <c r="F86" i="11" l="1"/>
  <c r="F30" i="11"/>
  <c r="F22" i="11"/>
  <c r="F82" i="11" l="1"/>
  <c r="F81" i="11"/>
  <c r="F21" i="11"/>
  <c r="F20" i="11"/>
  <c r="F80" i="11" l="1"/>
  <c r="F79" i="11"/>
  <c r="F78" i="11"/>
  <c r="F77" i="11"/>
  <c r="F76" i="11" l="1"/>
  <c r="F75" i="11"/>
  <c r="F74" i="11"/>
  <c r="F73" i="11"/>
  <c r="F72" i="11"/>
  <c r="F68" i="11" l="1"/>
  <c r="F67" i="11"/>
  <c r="F66" i="11"/>
  <c r="F17" i="11"/>
  <c r="F65" i="11" l="1"/>
  <c r="F64" i="11"/>
  <c r="F63" i="11"/>
  <c r="F28" i="11"/>
  <c r="F62" i="11" l="1"/>
  <c r="F61" i="11"/>
  <c r="F60" i="11"/>
  <c r="F59" i="11"/>
  <c r="F58" i="11" l="1"/>
  <c r="F57" i="11"/>
  <c r="F55" i="11"/>
  <c r="F54" i="11" l="1"/>
  <c r="F53" i="11"/>
  <c r="F52" i="11"/>
  <c r="F51" i="11"/>
  <c r="F50" i="11" l="1"/>
  <c r="F49" i="11"/>
  <c r="F48" i="11"/>
  <c r="F47" i="11"/>
  <c r="F14" i="11"/>
  <c r="F46" i="11" l="1"/>
  <c r="F45" i="11"/>
  <c r="F44" i="11"/>
  <c r="F43" i="11"/>
  <c r="F10" i="11" l="1"/>
  <c r="F9" i="11"/>
  <c r="F40" i="11" l="1"/>
  <c r="F39" i="11"/>
  <c r="F38" i="11"/>
  <c r="F53" i="18" l="1"/>
  <c r="F73" i="18" s="1"/>
  <c r="F106" i="19"/>
  <c r="F10" i="19" l="1"/>
  <c r="F11" i="19"/>
  <c r="F12" i="19"/>
  <c r="F13" i="19"/>
  <c r="F14" i="19"/>
  <c r="F15" i="19"/>
  <c r="F16" i="19"/>
  <c r="F17" i="19"/>
  <c r="F18" i="19"/>
  <c r="F19" i="19"/>
  <c r="F9" i="19"/>
  <c r="F146" i="19" l="1"/>
  <c r="F49" i="17"/>
  <c r="F47" i="17"/>
  <c r="F48" i="17"/>
  <c r="F51" i="17"/>
  <c r="F50" i="17"/>
  <c r="F46" i="17"/>
  <c r="F80" i="16"/>
  <c r="F11" i="16"/>
  <c r="F10" i="16"/>
  <c r="E10" i="16"/>
  <c r="F81" i="16"/>
  <c r="F9" i="16" l="1"/>
  <c r="E80" i="16"/>
  <c r="F36" i="11"/>
  <c r="F34" i="11"/>
  <c r="F35" i="11"/>
  <c r="F37" i="11"/>
  <c r="F33" i="11"/>
  <c r="F103" i="11" s="1"/>
  <c r="F98" i="16"/>
</calcChain>
</file>

<file path=xl/sharedStrings.xml><?xml version="1.0" encoding="utf-8"?>
<sst xmlns="http://schemas.openxmlformats.org/spreadsheetml/2006/main" count="1403" uniqueCount="628">
  <si>
    <t xml:space="preserve">इकाई </t>
  </si>
  <si>
    <t xml:space="preserve">कैफियत </t>
  </si>
  <si>
    <t xml:space="preserve">महिला </t>
  </si>
  <si>
    <t xml:space="preserve">लाभान्वित जनसंख्या </t>
  </si>
  <si>
    <t>क्र . स.</t>
  </si>
  <si>
    <t xml:space="preserve">क्रियाकलापको बिवरण </t>
  </si>
  <si>
    <t xml:space="preserve">बार्षिक लक्ष्य </t>
  </si>
  <si>
    <t xml:space="preserve">परिमाण </t>
  </si>
  <si>
    <t xml:space="preserve">पुरुष </t>
  </si>
  <si>
    <t xml:space="preserve">पिछडा बर्ग </t>
  </si>
  <si>
    <t xml:space="preserve">अन्य </t>
  </si>
  <si>
    <t xml:space="preserve">धनगढी , कैलाली </t>
  </si>
  <si>
    <t>वडा न.</t>
  </si>
  <si>
    <t xml:space="preserve">धनगढी उप - महानगरपालिका कार्यालय </t>
  </si>
  <si>
    <t xml:space="preserve">जम्मा रकम </t>
  </si>
  <si>
    <t xml:space="preserve">बजेट रु.हजारमा </t>
  </si>
  <si>
    <t xml:space="preserve">गोटा </t>
  </si>
  <si>
    <t xml:space="preserve">जम्मा </t>
  </si>
  <si>
    <t xml:space="preserve">जना </t>
  </si>
  <si>
    <t xml:space="preserve">( क ) पूर्वाधार विकास </t>
  </si>
  <si>
    <t xml:space="preserve">( ग ) आर्थिक / सिप बिकास </t>
  </si>
  <si>
    <t xml:space="preserve">( ख ) सामाजिक पूर्वाधार </t>
  </si>
  <si>
    <t xml:space="preserve">( घ ) सस्थागत  बिकास </t>
  </si>
  <si>
    <t xml:space="preserve">( क ) सडक </t>
  </si>
  <si>
    <t xml:space="preserve">( ख ) शिक्षा </t>
  </si>
  <si>
    <t xml:space="preserve">( ग ) सिचाई </t>
  </si>
  <si>
    <t xml:space="preserve">( घ ) खानेपानी तथा सरसफाइ </t>
  </si>
  <si>
    <t xml:space="preserve">( ङ ) वातावरण संरक्षण </t>
  </si>
  <si>
    <t xml:space="preserve">( च ) आर्थिक पूर्वाधार </t>
  </si>
  <si>
    <t xml:space="preserve">( छ ) सामाजिक पूर्वाधार </t>
  </si>
  <si>
    <t xml:space="preserve">( ज ) स्वास्थ्य पूर्वाधार </t>
  </si>
  <si>
    <t xml:space="preserve">( झ  ) अन्य </t>
  </si>
  <si>
    <t xml:space="preserve">संख्या </t>
  </si>
  <si>
    <t xml:space="preserve">धनगढी उप-महानगरपालिका वडा न. १ का बालक्लबका सदस्यहरु लाई नेतृत्व विकास </t>
  </si>
  <si>
    <t xml:space="preserve">( ख ) सामाजिक / क्षमता विकास </t>
  </si>
  <si>
    <t xml:space="preserve">धनगढी उप-महानगरपालिका वडा न. १ नुरन्नबि मदरसामा खानेपानी नल्का गाड्ने र शौचालय निर्माण गर्ने काम </t>
  </si>
  <si>
    <t xml:space="preserve">पार्वती प्रा.बि. लाई पुस्तकालय का लागि पुस्तक सहयोग </t>
  </si>
  <si>
    <t xml:space="preserve">धनगढी उप-महानगरपालिका वडा न. १ राष्ट्रिय मदरसामा पर्खाल  निर्माण गर्ने काम </t>
  </si>
  <si>
    <t xml:space="preserve">कि.मि. </t>
  </si>
  <si>
    <t xml:space="preserve">धनगढी उप-महानगरपालिका वडा न. १ सरस्वती नि.मा.बि.को खानेपानी टंकी मर्मत गर्ने काम </t>
  </si>
  <si>
    <t xml:space="preserve">वाडा नम्बर १ का बेरोजगार दलित युवाहरु लाई कपाल काट्ने तालिम </t>
  </si>
  <si>
    <t xml:space="preserve">वाडा नम्बर १ का बेरोजगार दलित युवाहरु लाई ड्राइभिंग तालिम </t>
  </si>
  <si>
    <t xml:space="preserve">वाडा नम्बर १ का बेरोजगार दलित युवाहरु लाई बिधुत वायारिंग तालिम </t>
  </si>
  <si>
    <t xml:space="preserve">वाडा नम्बर १ मा लागूऔषध दुर्बेशनी बिरुद्दको सचेतना सम्बन्धि सडक नाटक तथा चेतनामूलक कार्यक्रम </t>
  </si>
  <si>
    <t xml:space="preserve">वाडा नम्बर १ का मुस्लिम महिलाहरुको लागि सिलाई कटाई तालिम </t>
  </si>
  <si>
    <t xml:space="preserve">वाडा नम्बर १ का SLC पास  दलित र जनजाती महिलाहरु  लाई कम्प्युटर तालिम </t>
  </si>
  <si>
    <t>कि.मी.</t>
  </si>
  <si>
    <t>कि.मि.</t>
  </si>
  <si>
    <t xml:space="preserve">धनगढी उप-महानगरपालिका वडा न. १  हिरा सुबेदी घर देखी कृष्ण पन्त को घर  सम्म सडक ग्राभेल गर्ने काम </t>
  </si>
  <si>
    <t xml:space="preserve">धनगढी उप-महानगरपालिका वडा न. १ टिकेश्वरी हमालको घर देखी सिता बि.क. को घर सम्म सडक ग्राभेल गर्ने काम </t>
  </si>
  <si>
    <t xml:space="preserve">धनगढी उप-महानगरपालिका वडा न. १  सन्त निरंकारी भवन देखी दक्षीण लक्ष्मन बि.क. को घर हुदै घनश्याम कोलि को घर जाने  सडक ग्राभेल गर्ने काम </t>
  </si>
  <si>
    <t xml:space="preserve">धनगढी उप-महानगरपालिका वडा न. १  जानकी देबी भट्ट को घर देखी लाल बहादुर मगर को घर जाने नया  सडक ग्राभेल गर्ने काम </t>
  </si>
  <si>
    <t xml:space="preserve">धनगढी उप-महानगरपालिका वडा न. १ सिमा सुरक्षा कार्यालय देखी देउवा को घर  जाने सडक ग्राभेल गर्ने काम </t>
  </si>
  <si>
    <t xml:space="preserve">धनगढी उप-महानगरपालिका वडा न. १ आनन्द टोलमा कुँवरको घर देखी थापाको घर सम्म सडक ग्राभेल गर्ने काम </t>
  </si>
  <si>
    <t xml:space="preserve">धनगढी उप-महानगरपालिका वडा न. १ बसन्त टोल ईटा भट्टा भएर सेतो पुल मेन सडक जोड्ने सडक ग्राभेल गर्ने काम </t>
  </si>
  <si>
    <t xml:space="preserve">धनगढी उप-महानगरपालिका वडा न. १ शैलेश्वरी क्याम्पस देखी पुजारा चौधरी को घर सम्म सडक ग्राभेल गर्ने काम </t>
  </si>
  <si>
    <t xml:space="preserve">धनगढी उप-महानगरपालिका वडा न. १ कृष्ण बर्णवाल को घर देखी अर्जुन पाठकको घर सम्म सडक ग्राभेल गर्ने काम </t>
  </si>
  <si>
    <t xml:space="preserve">धनगढी उप-महानगरपालिका वडा न. १ रुपक मल्ल को घर जाने सडक ग्राभेल गर्ने काम </t>
  </si>
  <si>
    <t xml:space="preserve">धनगढी उप-महानगरपालिका वडा न. १  कृष्ण टोल , लक्ष्मीनगर , शिवनगर , शान्ति नगर र पशुपति टोलका महिलाहरु लाई होजीयरी तालिम </t>
  </si>
  <si>
    <t xml:space="preserve">धनगढी उप-महानगरपालिका वडा न. १ पशुपति टोलका महिलाहरु लाई एडभान्स सिलाइकटाइ  तालिम </t>
  </si>
  <si>
    <t xml:space="preserve">धनगढी उप-महानगरपालिका वडा न. १ प्रगतिशील नागरिक सचेतना केन्द्रका महिलाहरु लाई होजियरी तालिम </t>
  </si>
  <si>
    <t xml:space="preserve">धनगढी उप-महानगरपालिका वडा न. १ बिभिन्न टोलका महिलाहरु लाई च्याउ खेति तालिम </t>
  </si>
  <si>
    <t xml:space="preserve">धनगढी उप-महानगरपालिका वडा न. १ बिभिन्न टोलका महिलाहरु लाई ब्युटीपार्लर तालिम </t>
  </si>
  <si>
    <t xml:space="preserve">धनगढी उप-महानगरपालिका वडा न. १ श्याम अर्यालको घर देखी प्रकाश खरेलको घर जाने  सडक ग्राभेल गर्ने काम </t>
  </si>
  <si>
    <t xml:space="preserve">धनगढी उप-महानगरपालिका वडा न.१ बुद्द मन्दिर बौद भिक्षुका लागी आवाशीय भवन निर्माण </t>
  </si>
  <si>
    <t>धनगढी उप-महानगरपालिका वडा न.१ गणेश बि.क.को घर देखी कृष्ण बिष्टको घर सम्म सडक  कालोपत्रे</t>
  </si>
  <si>
    <t>धनगढी उप-महानगरपालिका वडा न.१ सिता के.सी.को घर पश्चीम भएर जाने बाटो मान बहादुर बिष्टको  घर सम्म सडक कालोपत्रे</t>
  </si>
  <si>
    <t xml:space="preserve">धनगढी उप-महानगरपालिका वडा न.१ शुरेन्द्र चन्दको घर देखी पुर्व सडकमा पक्कि नाली निर्माण </t>
  </si>
  <si>
    <t xml:space="preserve">धनगढी उप-महानगरपालिका वडा न.१ टी.सी.एन. चौक देखि नेपाली कांग्रेस पार्टी कार्यालय पुरानो एरपोर्ट सिबिर  हुदै मदन बि.सी. को घर सम्माको सडक कालोपत्रे </t>
  </si>
  <si>
    <t xml:space="preserve">धनगढी उप-महानगरपालिका वडा न.१ सीताराम बजगाईको घर देखि तेज मल्लको घर हुदै प्रेम आउजीको घर सम्म सडक कालोपत्रे मनकामना टोल </t>
  </si>
  <si>
    <t xml:space="preserve">धनगढी उप-महानगरपालिका वडा न.१ पुर्णिमा साउदको घर देखी भंगी नाला सम्म निर्माण </t>
  </si>
  <si>
    <t>धनगढी उप-महानगरपालिका वडा न.१ एल.एन. चौक कर्ण कुवरको घर जाने सडक कालोपत्रे</t>
  </si>
  <si>
    <t xml:space="preserve">धनगढी उप-महानगरपालिका वडा न. १ कबिता जैरुको घर जाने सडकमा नाली निर्माण तथा कालोपत्रे गर्ने काम </t>
  </si>
  <si>
    <t xml:space="preserve">धनगढी उप-महानगरपालिका वडा नम्बर  वडा नम्बर २ दलित  युवतीका लागि च्याउ खेति तालिम </t>
  </si>
  <si>
    <t xml:space="preserve">धनगढी उप-महानगरपालिका वडा नम्बर २ छहारी महिला सशक्तिकर केन्द्र लाई बंगुरका पाठ खरिद गरि आय आर्जन गर्नको लागि कोष स्थापन गरि सहयोग गर्ने काम </t>
  </si>
  <si>
    <t xml:space="preserve">धनगढी उप-महानगरपालिका वडा न. ३ बोराडाडीमा खोप केन्द्र निर्माण </t>
  </si>
  <si>
    <t xml:space="preserve">धनगढी उप-महानगरपालिका वडा न. ३ जडिबुटी तेल उधोग पूर्वाधार निर्माण सहयोग  </t>
  </si>
  <si>
    <t xml:space="preserve">धनगढी उप-महानगरपालिका वडा न. ३ नागरिक सचेतना केन्द्रका सहभागीहरु लाई सिलाई कटाई तालिम </t>
  </si>
  <si>
    <t xml:space="preserve">धनगढी उप-महानगरपालिका वडा न. ३ का महिलाहरु लाई झोला बनाउने तालिम </t>
  </si>
  <si>
    <t>धनगढी उप-महानगरपालिका - ४ महिलाहरुका लागी ब्युटीपार्लर तालिम ।</t>
  </si>
  <si>
    <t>धनगढी उप-महानगरपालिका - ४  महिलाहरुका लागी कटाई सिलाई तालिम ।</t>
  </si>
  <si>
    <t>धनगढी उप-महानगरपालिका - ४ महिलाहरुका लागी च्याउ खेती तालिम ।</t>
  </si>
  <si>
    <t>धनगढी उप-महानगरपालिका - ४ नागरिक सचेतना केन्द्र का महिलाहरु का लागी कढाई भर्ने तालिम</t>
  </si>
  <si>
    <t xml:space="preserve">धनगढी उप-महानगरपालिका वडा नम्बर - ५ दिप ज्योती महिला समुहको भवनको छाना निर्माण गर्ने काम </t>
  </si>
  <si>
    <t xml:space="preserve">धनगढी उप-महानगरपालिका वडा नम्बर - ५   बेमौसमी तरकारी तालिम </t>
  </si>
  <si>
    <t xml:space="preserve">धनगढी उप-महानगरपालिका वडा नम्बर - ५ का   महिलाका लागि च्याउ खेति तालिम </t>
  </si>
  <si>
    <t xml:space="preserve">धनगढी उप-महानगरपालिका वडा नम्बर - ५ मैनबत्ती र अगर बत्ति बनाउने तालिम </t>
  </si>
  <si>
    <t xml:space="preserve">धनगढी उप-महानगरपालिका वडा नम्बर - ५ का महिलाहरुका लागी ड्राइभिंग तालिम </t>
  </si>
  <si>
    <t xml:space="preserve">धनगढी उप-महानगरपालिका वडा न. ६  होजियारी तालिम </t>
  </si>
  <si>
    <t xml:space="preserve">धनगढी उप-महानगरपालिका वडा न. ६ का महिलाहरु लाई बेमौसमी तरकारी खेति सम्बन्धि तालिम </t>
  </si>
  <si>
    <t xml:space="preserve">धनगढी उप-महानगरपालिका वडा न. ६  मैन बत्ति बनाउने तालिम </t>
  </si>
  <si>
    <t>धनगढी उप-महानगरपालिका वडा न. ६ का महिला लाई गुडिया बनाउने तालिम</t>
  </si>
  <si>
    <t xml:space="preserve">धनगढी उप-महानगरपालिका वडा न.७ मनेहरमा खोप केन्द्र निर्माण </t>
  </si>
  <si>
    <t xml:space="preserve">धनगढी उप-महानगरपालिका वडा न. ७ महिलाहरु लाई सिलाइकटाइ तालिम </t>
  </si>
  <si>
    <t xml:space="preserve">धनगढी उप-महानगरपालिका वडा न. ७ महिलाहरुका लागि ड्राइभिंग तालिम </t>
  </si>
  <si>
    <t>धनगढी उप-महानगरपालिका वडा न. ७ दुना टपरी बनाउने तालिम र मेशिन खरिद ( नव ज्योती नागरिक सचेतना केन्द्रका लागि )</t>
  </si>
  <si>
    <t xml:space="preserve">धनगढी उप-महानगरपालिका वडा न. ७ मा बाख्रा पालन तालिम </t>
  </si>
  <si>
    <t xml:space="preserve">धनगढी उप-महानगरपालिका वडा नम्बर - ८  बेमौसमी तरकारी तालिम </t>
  </si>
  <si>
    <t xml:space="preserve">धनगढी उप-महानगरपालिका वडा नम्बर - ८ का   महिलाका लागि च्याउ खेति तालिम </t>
  </si>
  <si>
    <t xml:space="preserve">धनगढी उप-महानगरपालिका वडा नम्बर - ८ मैनबत्ती बनाउने तालिम </t>
  </si>
  <si>
    <t xml:space="preserve">धनगढी उप-महानगरपालिका वडा नम्बर - ८ ब्युटिपार्लल तालिम </t>
  </si>
  <si>
    <t xml:space="preserve">धनगढी उप-महानगरपालिका -१० नागरिक सचेताना केन्द्रमा नल्का गाड्ने काम </t>
  </si>
  <si>
    <t xml:space="preserve">धनगढी उप-महानगरपालिका -१० का महिलाहरु लाई ब्युटिसियन तालिम </t>
  </si>
  <si>
    <t xml:space="preserve">धनगढी उप-महानगरपालिका -१० का महिलाहरु हाते कडाई तालिम </t>
  </si>
  <si>
    <t xml:space="preserve">धनगढी उप-महानगरपालिका -१० का महिलाहरु लाई  होजियारी तालिम </t>
  </si>
  <si>
    <t>जना</t>
  </si>
  <si>
    <t xml:space="preserve">धनगढी उप-महानगरपालिका - १३ का महिलाहरु लाई च्याउ खेती तलिम </t>
  </si>
  <si>
    <t>धनगढी उप-महानगरपालिका - १३ का महिलाहरु लाई मैन बत्ती तालिम</t>
  </si>
  <si>
    <t xml:space="preserve">धनगढी उप-महानगरपालिका - १३ का महिलाहरु लाई दुना टपरी बनाउने तालिम सहित मेसिन खरिद </t>
  </si>
  <si>
    <t xml:space="preserve">धनगढी उप-महानगरपालिका - १३ का महिलाहरु लाई कटाई सिलाई तालिम </t>
  </si>
  <si>
    <t xml:space="preserve">धनगढी उप-महानगरपालिका वडा न. १४ को महिला सामुदायिक भवन मर्मत </t>
  </si>
  <si>
    <t xml:space="preserve">धनगढी उप-महानगरपालिका वडा न. १४ का थापा र ठकुल्ला टोलमा गहिरो नल्का गाड्ने काम </t>
  </si>
  <si>
    <t>धनगढी उप-महानगरपालिका वडा न. १४ का महिलाहरु लाई क्षमता विकास तालिम</t>
  </si>
  <si>
    <t xml:space="preserve">धनगढी उप-महानगरपालिका वडा न. १४ का महिलाहरु लाई तरकारी खेति सम्बन्धि तालिम </t>
  </si>
  <si>
    <t>धनगढी उप-महानगरपालिका वडा न. १५ एकल महिला लाई बन्गुर पालनका लागि पाठा खरिद</t>
  </si>
  <si>
    <t>धनगढी उप-महानगरपालिका वडा न. १५ महिलाहरुलाई हाते साडी कडाई</t>
  </si>
  <si>
    <t xml:space="preserve">धनगढी उप-महानगरपालिका वडा न. १५ का महिलाहरु लाई तरकारी खेती सम्बन्धि तालिम </t>
  </si>
  <si>
    <t xml:space="preserve">धनगढी उप-महानगरपालिका वडा न. १६ मा सुधारिएको चुलो निर्माण </t>
  </si>
  <si>
    <t>धनगढी उप-महानगरपालिका वडा न. १६ एकल महिला बंगुर पालनका लागी पाठा खरिद ।</t>
  </si>
  <si>
    <t>धनगढी उप-महानगरपालिका वडा न. १६  महिलाहरुलाई गुडिया (खेलौना) बनाउने तालिम ।</t>
  </si>
  <si>
    <t xml:space="preserve">धनगढी उप-महानगरपालिका वडा न. १७ नागरिक सचेतना केन्द्र डुमलियामा  बाख्रा पालनका लागी पाठा खरिद </t>
  </si>
  <si>
    <t>धनगढी उप-महानगरपालिका वडा न. १७ सिलाई कटाई एड्भान्स तालिम (मेसिन सहित) ।</t>
  </si>
  <si>
    <t xml:space="preserve">धनगढी उप-महानगरपालिका वडा न. १८ का महिलाहरु लाई बाख्रा पालन तालिम र बाख्रा अनुदान </t>
  </si>
  <si>
    <t xml:space="preserve">धनगढी उप-महानगरपालिका वडा न. १९  का एकल  महिलाहरु लाई बाख्रा पालन तालिम र बाख्रा अनुदान </t>
  </si>
  <si>
    <t xml:space="preserve">धनगढी उप-महानगरपालिका वडा न. १९ का महिलाहरु लाई च्याउ खेती तालिम </t>
  </si>
  <si>
    <t xml:space="preserve">धनगढी उप-महानगरपालिका वडा न. १९ का महिलाहरु लाई बेमौसमी तरकारी खेती तालिम </t>
  </si>
  <si>
    <t xml:space="preserve">धनगढी उप-महानगरपालिका वडा न. २०  का महिलाहरु लाई बुट्टे कडाई तालिम </t>
  </si>
  <si>
    <t xml:space="preserve">धनगढी उप-महानगरपालिका वडा न. २०  का महिलाहरु लाई होजियरी तालिम </t>
  </si>
  <si>
    <t xml:space="preserve">धनगढी उप-महानगरपालिका वडा न. २०  का महिलाहरु लाई ब्युटीपार्लर तालिम </t>
  </si>
  <si>
    <t xml:space="preserve">धनगढी उप-महानगरपालिका वडा न. २०  का महिलाहरु लाई फुल मेकिंग  तालिम </t>
  </si>
  <si>
    <t xml:space="preserve">धनगढी उप-महानगरपालिका वडा न. २०  का महिलाहरु लाई च्याउ खेती  तालिम </t>
  </si>
  <si>
    <t xml:space="preserve">धनगढी उप-महानगरपालिका वडा न. २०  का महिलाहरु लाई बेमौसमी तरकारी बिउ सहयोग र  तालिम </t>
  </si>
  <si>
    <t xml:space="preserve">धनगढी उप-महानगरपालिका - ११ वेमौसमि तरकारी खेती ( फुलनहिया नागरिक सचेतना केन्द्र मार्फत ) </t>
  </si>
  <si>
    <t xml:space="preserve">धनगढी उप-महानगरपालिका - ११ हातेकढाई तालिम </t>
  </si>
  <si>
    <t>धनगढी उप-महानगरपालिका - ११ अगर बत्ती तालिम ( हरियालि नागरिक सचेतना केन्द्रमा )</t>
  </si>
  <si>
    <t xml:space="preserve">धनगढी उप-महानगरपालिका - १२  बाँस र वेतबाँस बाट बन्ने सामाग्रीको तालिम </t>
  </si>
  <si>
    <t xml:space="preserve">धनगढी उप-महानगरपालिका - १२ ढकिया बुन्ने तालिम </t>
  </si>
  <si>
    <t xml:space="preserve">धनगढी उप-महानगरपालिका - १२ कटाई सिलाई सम्बन्धी तालिम </t>
  </si>
  <si>
    <t>धनगढी उप-महानगरपालिका - १२ ब्युटी पार्लर तालिम</t>
  </si>
  <si>
    <t xml:space="preserve">धनगढी उप-महानगरपालिका - १२ हाते होजियारी तालिम </t>
  </si>
  <si>
    <t xml:space="preserve">धनगढी उप-महानगरपालिका वडा न. १७ सिलाई कटाई एड्भान्स तालिम  ( मेसिन सहित ) </t>
  </si>
  <si>
    <t xml:space="preserve">सेट </t>
  </si>
  <si>
    <t>धनगढी उप-महानगरपालिका वडा न. २ शैलेश्वरी प्रा.बि. को भवन निर्माण ( विल्डन नेपाल को सहकार्यमा )</t>
  </si>
  <si>
    <t xml:space="preserve">धनगढी उप-महानगरपालिका वडा न. २ का सामुदायिक बिद्यालय लाई खेलकुद सामग्री </t>
  </si>
  <si>
    <t xml:space="preserve">धनगढी उप-महानगरपालिका वडा न. ३  कालिकानगर को पश्चिम मोहना नदी किनारमा फुटवल मैदान निर्माण </t>
  </si>
  <si>
    <t xml:space="preserve">धनगढी उप-महानगरपालिका वडा न. ३ श्री जनता नि.मा.बि. मा पुस्तकालय को लागि पुस्तक खरिद </t>
  </si>
  <si>
    <t xml:space="preserve">धनगढी उप-महानगरपालिका वडा न. ३ श्री शिब पार्वती प्रा.बि. मा खाने पानी निर्माण </t>
  </si>
  <si>
    <t xml:space="preserve">धनगढी उप-महानगरपालिका - ४  श्री राष्ट्रिय मा.बी. उत्तर बेहड़ीको पुस्तालयका लागी पुस्तक र फर्निचर खरिद </t>
  </si>
  <si>
    <t xml:space="preserve">धनगढी उप-महानगरपालिका - ४  श्री राष्ट्रिय मा.बी. उत्तर बेहड़ीको शैक्षिक सामाग्री खरिद </t>
  </si>
  <si>
    <t xml:space="preserve">धनगढी उप-महानगरपालिका वडा न. ५ पन्चोद्य उ.मा.बि.  को पुरानो भवन मा रंगरोगन गर्ने काम </t>
  </si>
  <si>
    <t xml:space="preserve">धनगढी उप-महानगरपालिका वडा न. ५ एश्वर्य आवाशीय उ.मा.बि.  को खेल मैदानमा माटो भरान गर्ने काम </t>
  </si>
  <si>
    <t>धनगढी उप-महानगरपालिका वडा न. ५ पन्चोद्य उ.मा.बि.र रा.नि.मा.बि. तारानगर  का  किशोर किसोरिहरुमा मानसिक र शारीरिक स्वास्थ्यमा आउने परिवर्तन र यस सम्बन्धि व्यवस्थापन सम्बन्धि ज्ञान र चेतना अभिवृद्धि सम्बन्धि तालिम ( सरसफाई सम्बन्धि तालिम )</t>
  </si>
  <si>
    <t xml:space="preserve">धनगढी उप-महानगरपालिका वडा न. ६ श्री भैरब बाबा नि.मा.बि. मा साइकल स्टेन्ड निर्माण </t>
  </si>
  <si>
    <t xml:space="preserve">धनगढी उप-महानगरपालिका वडा न. ६ श्री बासु  देबी उ. मा.बि. मा  पुस्तकालय निर्माण </t>
  </si>
  <si>
    <t xml:space="preserve">धनगढी उप-महानगरपालिका वडा न. ६ श्री भैरब बाबा नि.मा.बि. मा बाल विकास केन्द्र को भवन निर्माण </t>
  </si>
  <si>
    <t xml:space="preserve">धनगढी उप-महानगरपालिका वडा न. ६ का बालबालिकाहरु लाई लागूऔषध तथा दुर्बेसनी र बाल श्रम सम्बन्धी जनचेतनामूलक कार्यक्रम </t>
  </si>
  <si>
    <t>धनगढी उप-महानगरपालिका वडा न. ७ सरस्वती मा.बी.को  अधुरो पर्खाल निर्माण</t>
  </si>
  <si>
    <t xml:space="preserve">धनगढी उप-महानगरपालिका वडा न. ७ रा.मा.बी. बेली मा पुस्तकायल </t>
  </si>
  <si>
    <t xml:space="preserve">धनगढी उप-महानगरपालिका वडा न. ७ शिब नि.मा.बी.को पर्खाल निर्माण </t>
  </si>
  <si>
    <t>धनगढी उप-महानगरपालिका वडा न. ७ किशोर किशोरीहरु लाई पोषण शिक्षा कार्यक्रम ( बाल क्लब मार्फत )</t>
  </si>
  <si>
    <t xml:space="preserve">धनगढी उप-महानगरपालिका वडा न. ८  धनगढी उ.मा.बि. को पुरानो भवन को छाना मर्मत </t>
  </si>
  <si>
    <t>धनगढी उप-महानगरपालिका वडा न. ८ धनगढी उ.मा.बि. का  किशोर किसोरिहरुमा मानसिक र शारीरिक स्वास्थ्यमा आउने परिवर्तन र यस सम्बन्धि व्यवस्थापन सम्बन्धि ज्ञान र चेतना अभिवृद्धि सम्बन्धि तालिम ( सरसफाई सम्बन्धि तालिम )</t>
  </si>
  <si>
    <t xml:space="preserve">धनगढी उप-महानगरपालिका वडा न. ९ भवानी मा.बि.मा विज्ञान प्रयोगशालाका लागी बिज्ञान सामाग्री खरिद </t>
  </si>
  <si>
    <t xml:space="preserve">धनगढी उप-महानगरपालिका वडा न. ९ भवानी मा.बि. को पर्खाल निर्माण </t>
  </si>
  <si>
    <t xml:space="preserve">धनगढी उप-महानगरपालिका वडा न. १० श्री बि.पी.प्रा.बि.मा प्रोजेक्टर र कम्प्युटर खरिद </t>
  </si>
  <si>
    <t xml:space="preserve">धनगढी उप-महानगरपालिका वडा न. १० को बालविकास को अधुरो पर्खाल निर्माण </t>
  </si>
  <si>
    <t xml:space="preserve">धनगढी उप-महानगरपालिका वडा न. १० बाल  बालिकाहरू लाई पोषण सम्बन्धी जनचेतनामूलक तालिम </t>
  </si>
  <si>
    <t xml:space="preserve">धनगढी उप-महानगरपालिका - ११ फुल्नैया बाल विकास केन्द्रमा खानेपानी निर्माण तथा माटो भरान </t>
  </si>
  <si>
    <t>धनगढी उप-महानगरपालिका - ११ बालक्लबका वालवालिकाहरुका लागी नेतृत्व विकास तथा क्षमता बिकास तालिम</t>
  </si>
  <si>
    <t xml:space="preserve">धनगढी उप-महानगरपालिका - ११ फुल्नैया बाल विकास केन्द्र र जनकल्याण  बाल विकास केन्द्र लाई शैक्षिक सामाग्री खरिद </t>
  </si>
  <si>
    <t>खानेपानी व्यवस्थापन (सिद्दनाथ नि.मा.वि. डाँडा गाऊँ)</t>
  </si>
  <si>
    <t xml:space="preserve">धनगढी - १२ बि गाउँ नवदुर्गा नि.मा.बी. का लागि शैशिक सामाग्री खरिद </t>
  </si>
  <si>
    <t>विद्यालय वरिपरी घेरवार (गुम्बा छोईलिङ्ग प्रा.बि.)</t>
  </si>
  <si>
    <t xml:space="preserve">धनगढी उप-महानगरपालिका - १३ श्री  जनता राष्ट्रिय मा.बि. परिसरमा साइकल पार्किङ्ग </t>
  </si>
  <si>
    <t xml:space="preserve">धनगढी उप-महानगरपालिका - १३ लागु पदार्थ दुर्व्यसनि विरुद्द जनचेतना मुलक कार्यक्रम (जनता राष्ट्रिय मा.बि.) </t>
  </si>
  <si>
    <t xml:space="preserve">धनगढी उप-महानगरपालिका वडा न. १४ श्री सरस्वती प्रा.बि.मा खानेपानी निर्माण </t>
  </si>
  <si>
    <t xml:space="preserve">धनगढी उप-महानगरपालिका वडा न. १४ श्री सरस्वती प्रा.बि.मा फर्निचर निर्माण </t>
  </si>
  <si>
    <t xml:space="preserve">धनगढी उप-महानगरपालिका वडा न. १४ को खल्यान चौर मा खेल मैदान निर्माण </t>
  </si>
  <si>
    <t xml:space="preserve">धनगढी उप-महानगरपालिका वडा न. १४ श्री सरस्वती प्रा.बि.मा शैक्षिक सामाग्री खरिद </t>
  </si>
  <si>
    <t xml:space="preserve">धनगढी उप-महानगरपालिका वडा न. १४ का बालबालिका र बाल क्लब लाई नेतृत्व विकास तालिम </t>
  </si>
  <si>
    <t>धनगढी उप-महानगरपालिका वडा न. १५ जन जागृति प्रा.वि. कनरीको छाना फर्स मर्मत</t>
  </si>
  <si>
    <t>धनगढी उप-महानगरपालिका वडा न. १५ उर्मामा खेलकुद मैदान निर्माण</t>
  </si>
  <si>
    <t>धनगढी उप-महानगरपालिका वडा न. १५ सरकारी बिध्यालयमा खेलकुद सामाग्री खरिद</t>
  </si>
  <si>
    <t>धनगढी उप-महानगरपालिका वडा न. १५ किशोर किशोरीहरुलाई नेतृत्व विसाक तालिम</t>
  </si>
  <si>
    <t xml:space="preserve">धनगढी उप-महानगरपालिका वडा न. १६ जनकल्याण प्रा.बि.को खानेपानी निर्माण </t>
  </si>
  <si>
    <t xml:space="preserve">धनगढी उप-महानगरपालिका वडा न. १७ का सामुदायिक बिद्यालयमा खेलकुद सामाग्री खरिद </t>
  </si>
  <si>
    <t xml:space="preserve">धनगढी उप-महानगरपालिका वडा न. १८ का जेहेन्दार टुहुरा अपाङ्गता भएका बालबालिका लाई स्कुल ड्रेस र स्टेसनरी सहयोग </t>
  </si>
  <si>
    <t xml:space="preserve">धनगढी उप-महानगरपालिका वडा न. १८ श्री जनप्रिय नि.मा.बि. बिज्ञान सामाग्री खरिद गर्ने काम </t>
  </si>
  <si>
    <t xml:space="preserve">धनगढी उप-महानगरपालिका वडा न. १८ श्री फुलवारी नि.मा.बि. बिज्ञान सामाग्री खरिद गर्ने काम </t>
  </si>
  <si>
    <t xml:space="preserve">धनगढी उप-महानगरपालिका वडा न. १८ श्री मजदुर बालविकास केन्द्र शैक्षीक सामाग्री खरिद गर्ने काम </t>
  </si>
  <si>
    <t xml:space="preserve">धनगढी उप-महानगरपालिका वडा न. १८ श्री बाल सृजना प्रा.बी. खेदा शैक्षीक सामाग्री खरिद गर्ने काम </t>
  </si>
  <si>
    <t xml:space="preserve">धनगढी उप-महानगरपालिका वडा न. १८  श्री फुलवारी उ.मा.बी.का लागी बिज्ञान  सामाग्री खरिद गर्ने काम </t>
  </si>
  <si>
    <t xml:space="preserve">धनगढी उप-महानगरपालिका वडा न. १९   श्री खप्तडी नि.मा.बी.का लागी कम्प्युटर खरिद गर्ने काम </t>
  </si>
  <si>
    <t xml:space="preserve">धनगढी उप-महानगरपालिका वडा न. १९   श्री  इन्द्रोदय नि.मा.बी.का लागी कम्प्युटर खरिद गर्ने काम </t>
  </si>
  <si>
    <t xml:space="preserve">धनगढी उप-महानगरपालिका वडा न. १९   श्री भूपू शैनिक प्रा.बी.का लागी शैक्षिक तथा खेलकुद सामाग्री खरिद गर्ने काम </t>
  </si>
  <si>
    <t xml:space="preserve">धनगढी उप-महानगरपालिका वडा न. १९   श्री नर्मदेश्वर आदर्श सस्कृत बिद्या पिठ भवन निर्माण गर्ने काम </t>
  </si>
  <si>
    <t xml:space="preserve">धनगढी उप-महानगरपालिका वडा न. २०  श्री सर्बोदय मा.बि. का लागि बिज्ञान सामाग्री खरिद गर्ने काम </t>
  </si>
  <si>
    <t xml:space="preserve">धनगढी उप-महानगरपालिका वडा न. २०  श्री शिबशंकर नि. मा.बि. का लागि बिज्ञान सामाग्री खरिद गर्ने काम </t>
  </si>
  <si>
    <t xml:space="preserve">धनगढी उप-महानगरपालिका वडा न. २०  श्री जनजागृति उ. मा.बि. का लागि बिज्ञान सामाग्री खरिद गर्ने काम </t>
  </si>
  <si>
    <t xml:space="preserve">धनगढी उप-महानगरपालिका वडा न. २०  श्री सिदार्थ नि. मा.बि. का लागि बिज्ञान सामाग्री खरिद गर्ने काम </t>
  </si>
  <si>
    <t xml:space="preserve">धनगढी उप-महानगरपालिका वडा न. २०  श्री बाल प्रा.बि. खुटिया  का लागि शैक्षीक  सामाग्री खरिद गर्ने काम </t>
  </si>
  <si>
    <t xml:space="preserve">वडा न. २ का अपांगता भएका व्यक्तिहरु लाई कम्प्युटर तालिम </t>
  </si>
  <si>
    <t xml:space="preserve">वाडा नम्बर २ का दलित र एकल महिलाहरु लाई तरकारी खेति तालिम </t>
  </si>
  <si>
    <t xml:space="preserve">धनगढी उप-महानगरपालिका वडा न. ३  नागरिक सचेतना केन्द्र को भवन निर्माण </t>
  </si>
  <si>
    <t xml:space="preserve">धनगढी उप-महानगरपालिका वडा न. ३ साडी र घुम्टी कडाई तालिम </t>
  </si>
  <si>
    <t xml:space="preserve">धनगढी उप-महानगरपालिका वडा न. ३ का अपाङ्गता भएका व्यक्तिहरु लाई कम्प्युटर तालिम </t>
  </si>
  <si>
    <t xml:space="preserve">धनगढी उप-महानगरपालिका - ४  नागरिक सचेतना केन्द्रको भवन निर्माण निरन्तरता </t>
  </si>
  <si>
    <t xml:space="preserve">धनगढी उप-महानगरपालिका वडा न. ५ पिपल चौतरा सामुदायिक विकास केन्द्रमा निर्माण भएको शौचालयमा खानेपानी जोड्ने काम </t>
  </si>
  <si>
    <t xml:space="preserve">धनगढी उप-महानगरपालिका वडा न. ५ का जनजाती तथा दलित युवा युवतीहरु लाई कम्प्युटर तालिम </t>
  </si>
  <si>
    <t xml:space="preserve">धनगढी उप-महानगरपालिका वडा न. ५ का जनजाती तथा दलित युवा युवतीहरु लाई मोबाइल मर्मत तालिम </t>
  </si>
  <si>
    <t xml:space="preserve">धनगढी उप-महानगरपालिका वडा न. ६ दोघरा टोल विकास भवन मर्मत </t>
  </si>
  <si>
    <t xml:space="preserve">धनगढी उप-महानगरपालिका वडा न. ६ बिजुलिया को नागरिक सचेतना केन्द्र को लागी सिचाई बोरिंग निर्माण गर्ने काम </t>
  </si>
  <si>
    <t xml:space="preserve">धनगढी उप-महानगरपालिका वडा न. ६ का वडा भरिका पिछडा वर्ग  लाई ढकिया , चटाई बुनाई सम्बन्धि तालिम </t>
  </si>
  <si>
    <t xml:space="preserve">धनगढी उप-महानगरपालिका वडा न. ७ मनेहराको वडा स्तरीय खेल मैदान निर्माण </t>
  </si>
  <si>
    <t xml:space="preserve">धनगढी उप-महानगरपालिका वडा न. ७ देवरिया थारु छात्रवास को पर्खाल र गेट निर्माण </t>
  </si>
  <si>
    <t xml:space="preserve">धनगढी उप-महानगरपालिका वडा न. ७ का दलित आदिबासी पिछडियका मधेसी मुस्लिम समुदाय लाई सर सफाई सम्बन्धि तालिम </t>
  </si>
  <si>
    <t xml:space="preserve">धनगढी उप-महानगरपालिका वडा न. ८  भद्रपुर टोलमा तटबन्धन निर्माण गर्ने काम </t>
  </si>
  <si>
    <t xml:space="preserve">धनगढी उप-महानगरपालिका वडा न. ८  भद्रपुर टोल र राधा स्वामी टोलमा गहिरो नल्का गाड्ने काम </t>
  </si>
  <si>
    <t xml:space="preserve">धनगढी उप-महानगरपालिका वडा न. ८  राधा स्वामी टोल गया प्रशाद चौधरी को घर अगाडी पक्कि नाली निर्माण </t>
  </si>
  <si>
    <t xml:space="preserve">धनगढी उप-महानगरपालिका वडा न. ८ तौलाताल मा माछापालन का लागी पोखरी निर्माण तथा मर्मत </t>
  </si>
  <si>
    <t xml:space="preserve">धनगढी उप-महानगरपालिका वडा न. ९ दलित बस्तीमा हुम पाइप खरिद </t>
  </si>
  <si>
    <t xml:space="preserve">धनगढी उप-महानगरपालिका वडा न. १० राम जानकी मन्दिरमा खानेपानी निर्माण </t>
  </si>
  <si>
    <t xml:space="preserve">धनगढी उप-महानगरपालिका वडा न. १० का चार वटै टोलमा हाते नल्का गाड्ने काम </t>
  </si>
  <si>
    <t xml:space="preserve">धनगढी उप-महानगरपालिका वडा न. १०  महिलाहरु लाई बेमौसमी तरकारी खेति तालिम </t>
  </si>
  <si>
    <t xml:space="preserve">धनगढी उप-महानगरपालिका वडा न. १०  महिलाहरु लाई कम्प्युटर तालिम </t>
  </si>
  <si>
    <t xml:space="preserve">धनगढी उप-महानगरपालिका - ११ ललै भङ्गारा शिव मन्दिरमा शौचालय निर्माण </t>
  </si>
  <si>
    <t xml:space="preserve">धनगढी उप-महानगरपालिका - ११ का युवा युवती र अपाङ्गता भएका व्यक्तिहरुको लागी लोकसेवा तयारी सम्बन्धी कक्षा संचालन </t>
  </si>
  <si>
    <t xml:space="preserve">धनगढी उप-महानगरपालिका - १२ ए गाउँमा सामुदायिक भवन निर्माण </t>
  </si>
  <si>
    <t xml:space="preserve"> धनगढी उप-महानगरपालिका - १३  वेमौसमी तरकारी खेती तालिम </t>
  </si>
  <si>
    <t xml:space="preserve">धनगढी उप-महानगरपालिका - १३   ब्युटी पार्लर तालिम </t>
  </si>
  <si>
    <t xml:space="preserve">धनगढी उप-महानगरपालिका वडा न. १४ मोहना नदीमा स्पर मर्मत </t>
  </si>
  <si>
    <t xml:space="preserve">धनगढी उप-महानगरपालिका वडा न. १५ जेष्ठ नागरिकहरु लाई अभिमुखीकरण </t>
  </si>
  <si>
    <t>धनगढी उप-महानगरपालिका वडा न. १५ समैजी नागरिक सचेतना केन्द्र उर्मा दलित बस्तीमा तरकारी खेती तालिम र बिउ बिजन खरिद</t>
  </si>
  <si>
    <t xml:space="preserve">धनगढी उप-महानगरपालिका वडा न. १५ जेष्ठ नागरिकहरुलाई बेत बास तालिम </t>
  </si>
  <si>
    <t xml:space="preserve">धनगढी उप-महानगरपालिका वडा न. १८ र २० मा  जेष्ठ नागरिक समुहको भवन निर्माण गर्ने काम </t>
  </si>
  <si>
    <t>१८   र २०</t>
  </si>
  <si>
    <t xml:space="preserve">धनगढी उप-महानगरपालिका वडा न. १८ को सामुदायिक अध्यन केन्द्र लाई पुस्तक खरिद गर्ने काम </t>
  </si>
  <si>
    <t xml:space="preserve">धनगढी उप-महानगरपालिका वडा न. १८ जे गाउ डाडा शिब मन्दिर मर्मत गर्ने काम </t>
  </si>
  <si>
    <t xml:space="preserve">धनगढी उप-महानगरपालिका वडा न. २० का लागी आरन खरिद गर्ने काम </t>
  </si>
  <si>
    <t xml:space="preserve">धनगढी उप-महानगरपालिका वडा न. १८ मा मोबाईल मर्मत तालिम </t>
  </si>
  <si>
    <t xml:space="preserve">धनगढी उप-महानगरपालिका वडा न. १८ का अपांग संघ लाई होजियरी तालिम </t>
  </si>
  <si>
    <t xml:space="preserve">धनगढी उप-महानगरपालिका वडा न. १८ मा कम्प्युटर तालिम </t>
  </si>
  <si>
    <t xml:space="preserve">धनगढी उप-महानगरपालिका वडा न. १९ बाख्रा पालन </t>
  </si>
  <si>
    <t xml:space="preserve">धनगढी उप-महानगरपालिका वडा न. १९ बंगुर पालन </t>
  </si>
  <si>
    <t xml:space="preserve">धनगढी उप-महानगरपालिका वडा न. २० का अपांग संघ लाई सिलाई कटाई  तालिम </t>
  </si>
  <si>
    <t xml:space="preserve">धनगढी उप-महानगरपालिका वडा न. २० मा कार्पेन्टर तालिम </t>
  </si>
  <si>
    <t xml:space="preserve">धनगढी उप-महानगरपालिका वडा न. २० मा आदिवासी जनजाती प्रसुती सम्बन्धि जनचेतना सम्बन्धि तालिम </t>
  </si>
  <si>
    <t xml:space="preserve">धनगढी उप-महानगरपालिका वडा न. १६  जेष्ठ नागरिकहरू लाइ वेत बाँस तालिम </t>
  </si>
  <si>
    <t xml:space="preserve">धनगढी उप-महानगरपालिका वडा न. १६  दलितहरु लाई सिलाई कटाई तालिम </t>
  </si>
  <si>
    <t xml:space="preserve">धनगढी उप-महानगरपालिका - २ दल बहादुर साउद को घर देखि बल बहादुर बिस्टको घर सम्म सडक कालो पत्रे निर्माण </t>
  </si>
  <si>
    <t xml:space="preserve">धनगढी उप-महानगरपालिका - २ लिटिल फ्लावर स्कुल देखि भन्सार रोड जोड्ने सडक कालोपत्रे </t>
  </si>
  <si>
    <t xml:space="preserve">धनगढी उप-महानगरपालिका वडा न. ३ गोपाल के.सी.को घर हुदै गोबिन्द मान भडेल को घर देखि भूम चौधरी को घर सम्म सडक कालो पत्रे गर्ने काम </t>
  </si>
  <si>
    <t xml:space="preserve">धनगढी उप-महानगरपालिका वडा न. ३ बासुदेब रानाको घर देखी पुरानो कालोपत्रे सडक जोड्ने काम </t>
  </si>
  <si>
    <t xml:space="preserve">धनगढी उप-महानगरपालिका - ४ भगवती मन्दिर देखि भिमदत्त राजमार्ग जोड्ने सडकमा नालि निर्माण तथा कालोपत्रे </t>
  </si>
  <si>
    <t xml:space="preserve">धनगढी उप-महानगरपालिका वडा न. ५ जाई कुलबीर चौधरीको घर पुर्ब जाली जोड्ने सडक  कालो पत्रे निर्माण </t>
  </si>
  <si>
    <t xml:space="preserve">धनगढी उप-महानगरपालिका वडा न. ५ तारानगर हरि खित्रीको घर जाने सडक  कालो पत्रे निर्माण </t>
  </si>
  <si>
    <t xml:space="preserve">धनगढी उप-महानगरपालिका वडा न. ५ तारानगर नमुना टोल खुटिया मार्ग जोड्ने सडक  कालो पत्रे निर्माण </t>
  </si>
  <si>
    <t xml:space="preserve">धनगढी उप-महानगरपालिका - ५ तिर्था जोशीको घर जाने सडक कालोपत्रे </t>
  </si>
  <si>
    <t xml:space="preserve">धनगढी उप-महानगरपालिका - ५ तारानगर बाल बिहानी पुर्ब पुल निर्माण </t>
  </si>
  <si>
    <t xml:space="preserve">धनगढी उप-महानगरपालिका वडा न. ६ मटीयारी चौक देखी भैरब बाबा हुदै बासु देबी सम्म सडक कालोपत्रे </t>
  </si>
  <si>
    <t xml:space="preserve">धनगढी उप-महानगरपालिका वडा न. ६ मटीयारी संगम टोल सडक कालोपत्रे </t>
  </si>
  <si>
    <t xml:space="preserve">धनगढी उप-महानगरपालिका वडा न. ७  माधब चौधरी को मिल देखी मनेहरा सामुदायिक बन उ.स. को परिसर सम्म सडक कालोपत्रे </t>
  </si>
  <si>
    <t xml:space="preserve">धनगढी उप-महानगरपालिका वडा न. ७  देवरिया पाण्डेय  किराना पसल देखी उत्तर मानिया ताल जाने सडक कालोपत्रे गर्ने काम </t>
  </si>
  <si>
    <t xml:space="preserve">धनगढी उप-महानगरपालिका वडा न. ८ बुद्द चौक देखी दक्षिण विद्या नगर टोलमा सडक कालोपत्रे गर्ने काम </t>
  </si>
  <si>
    <t xml:space="preserve">धनगढी उप-महानगरपालिका वडा न. ८ जक्सन रानाको घर देखी बोरिंग सम्म सडक कालोपत्रे </t>
  </si>
  <si>
    <t xml:space="preserve">धनगढी उप-महानगरपालिका वडा न. ८ श्री धनगढी उ.मा.बि.मा बिद्यालय भवन निर्माण </t>
  </si>
  <si>
    <t xml:space="preserve">धनगढी उप-महानगरपालिका वडा न. ८ भद्रपुरमा तटबन्धन निर्माण </t>
  </si>
  <si>
    <t>धनगढी उप-महानगरपालिका वडा न. ८ सभासद गौरीशंकर को घर जाने सडक  कालोपत्रे निर्माण ( निरन्तरता )</t>
  </si>
  <si>
    <t xml:space="preserve">धनगढी उप-महानगरपालिका - ९ कालु पार्की को घर देखी पुर्व जाने सडक निर्माण निरन्तरता  </t>
  </si>
  <si>
    <t xml:space="preserve">धनगढी उप-महानगरपालिका -  १० दुखि राना को घर देखि उतार जाने सडक हरिलाल रानाको घर सम्म  सडक कालोपत्रे </t>
  </si>
  <si>
    <t xml:space="preserve">धनगढी उप-महानगरपालिका -  १० तौला राना को  दुकान देखि पुर्व जाने सडक झुठा नला सम्म कालोपत्रे </t>
  </si>
  <si>
    <t xml:space="preserve">धनगढी उप-महानगरपालिका - ११ सनबोरा नालामा पक्की पुल </t>
  </si>
  <si>
    <t xml:space="preserve">धनगढी उप-महानगरपालिका - १२ बि गाउँ हरि प्रशाद भट्ट को घर देखी दिनेश खत्रीको घर सम्म सडक ग्राभेल र कल्भर्ट निर्माण निरन्तरता </t>
  </si>
  <si>
    <t xml:space="preserve">धनगढी उप-महानगरपालिका - १२ सी गाउँ शारदा मा.बि. देखी खुटिया घाट सम्म जाने सडक कालोपत्रे </t>
  </si>
  <si>
    <t xml:space="preserve">धनगढी उप-महानगरपालिका - १३  पिपल बट देखि  उत्तर लक्ष्मीनगर जाने बाटो कालोपत्रे (निरन्तरता) </t>
  </si>
  <si>
    <t xml:space="preserve">धनगढी उप-महानगरपालिका - १३  मटियारी डिष्ट्रिलरी देखि दक्षिण कैलाली गाऊँ जाने बाटो सम्म सडक कालोपत्रे (निरन्तरता) </t>
  </si>
  <si>
    <t xml:space="preserve">धनगढी उप-महानगरपालिका - १३  नरेश भट्टको घर हुदै पुर्व उत्तर जाने सडक कालोपत्रे </t>
  </si>
  <si>
    <t xml:space="preserve">धनगढी उप-महानगरपालिका वडा न. ९ र १४ को ट्रान्सफरमर रहेको चौक देखी दक्षिण लाली गुरास टोल हुदै सरस्वती टोल जाने सडक कालोपत्रे गर्ने काम </t>
  </si>
  <si>
    <t xml:space="preserve">धनगढी उप-महानगरपालिका वडा न.१४  शान्ति ( गिरि ) टोल  जाने सडक कालोपत्रे गर्ने काम निरन्तरता </t>
  </si>
  <si>
    <t>धनगढी उप-महानगरपालिका वडा न. १५ ऊर्मा कटानको विभिन्न बाटोमा ग्राभेल ।</t>
  </si>
  <si>
    <t xml:space="preserve">धनगढी उप-महानगरपालिका वडा न. १७ न्यु कालिका प्रा.बी.को घेरबार गर्ने काम </t>
  </si>
  <si>
    <t xml:space="preserve">धनगढी उप-महानगरपालिका वडा न.१८ श्री अन्नपूर्ण नि.मा.बि. को पर्खाल निर्माण </t>
  </si>
  <si>
    <t xml:space="preserve">धनगढी उप-महानगरपालिका वडा न.१९ श्री फुलवारी क्याम्पसमा बिधुत वाईरिंग तथा फर्निचर  निर्माण </t>
  </si>
  <si>
    <t xml:space="preserve">धनगढी उप-महानगरपालिका वडा न.२० सुर्य नालामा पक्की पुल देखी जशक्ति सा.ब. जाने सडकमा स्ल्याब कल्भर्ट निर्माण गर्ने काम </t>
  </si>
  <si>
    <t xml:space="preserve">धनगढी उप-महानगरपालिका वडा न.१ राष्ट्रिय लोक तथा दोहरी गित प्रतिष्ठान नेपालका लागी सामाग्रीहरु खरिद </t>
  </si>
  <si>
    <t xml:space="preserve">धनगढी उप-महानगरपालिका - २ सरस्वतीनगर श्रीलंका टापु भनि चिनिने नया बस्तीमा सडक ग्राभेल </t>
  </si>
  <si>
    <t xml:space="preserve">धनगढी उप-महानगरपालिका वडा न. २ बैयाबेहडी दक्षिणमा रहेको शिब मन्दिर देखी पश्चिम दक्षिण जाने बाटो ग्राभेल </t>
  </si>
  <si>
    <t xml:space="preserve">धनगढी उप-महानगरपालिका वडा न. २ नाबदिप टोल उत्तर जित बहदुर थापा को घर सम्म ग्राभेल </t>
  </si>
  <si>
    <t xml:space="preserve">धनगढी उप-महानगरपालिका वडा न. २ देब सिंह कार्कीको को घर देखि चिन बहादुर सार्कीको घर सम्म ग्राभेल </t>
  </si>
  <si>
    <t xml:space="preserve">धनगढी उप-महानगरपालिका वडा न. २ धन बहादुर चौधरीको घर देखी मान बहादुर को घर सम्म सडक ग्राभेल </t>
  </si>
  <si>
    <t xml:space="preserve">धनगढी उप-महानगरपालिका वडा न.३ तिर्थराज पाण्डे को घर देखि पश्चिम मिल बाट उत्तर सिद्द राज तमाताको घर हुदै मिन बहादुर चन्दको घर सम्म ग्राभेल सडक निर्माण </t>
  </si>
  <si>
    <t xml:space="preserve">धनगढी उप-महानगरपालिका वडा न. ३ चटकपुर तिलक राज पाण्डे को घर देखि राम दास रानाको घर सम्म सडक ग्राभेल गर्ने काम </t>
  </si>
  <si>
    <t xml:space="preserve">धनगढी उप-महानगरपालिका वडा न. ३ केदार टोल गोपाल बिष्ट को घर देखि सुवास बिष्ट को घर सम्म सडक ग्राभेल गर्ने काम </t>
  </si>
  <si>
    <t xml:space="preserve">धनगढी उप-महानगरपालिका - ४ शिवपुरी धाममा थारु देउथान निर्माण </t>
  </si>
  <si>
    <t xml:space="preserve">धनगढी उप-महानगरपालिका - ४ केशब चन्दको घर देखी कासिराम उपाध्याको घर सम्म नाली निर्माण निरन्तरता </t>
  </si>
  <si>
    <t xml:space="preserve">धनगढी उप-महानगरपालिका - ४ बिकास टोल नाली मर्मत सम्भार </t>
  </si>
  <si>
    <t xml:space="preserve">धनगढी उप-महानगरपालिका - ४ दिपनगर टोल सानु हमालको घर देखि प्रज्वल भट्टको घर सम्म शुष्मा श्रेष्ठको घर सम्म नाली निर्माण </t>
  </si>
  <si>
    <t xml:space="preserve">धनगढी उप-महानगरपालिका - ५ तारानगर बिद्यानगर टोलमा चौतारा निर्माण </t>
  </si>
  <si>
    <t xml:space="preserve">धनगढी उप-महानगरपालिका - ५ शिवनगर अछाम सेवा समितिको भवन रंगरोगन </t>
  </si>
  <si>
    <t xml:space="preserve">धनगढी उप-महानगरपालिका - ५ जाई भैरब मन्दिर को भवन निर्माण तथा घेरबार </t>
  </si>
  <si>
    <t xml:space="preserve">धनगढी उप-महानगरपालिका - ५ दाहाल टोल गौरीशंकर मन्दिरमा शौचालय निर्माण </t>
  </si>
  <si>
    <t xml:space="preserve">धनगढी उप-महानगरपालिका - ५ हसनपुर साहित्य समाज नजिकको थारु देउता मदैया मर्मत </t>
  </si>
  <si>
    <t xml:space="preserve">धनगढी उप-महानगरपालिका - ५ तारानगर पन्चकोटी मन्दिरको पर्खाल निर्माण </t>
  </si>
  <si>
    <t xml:space="preserve">धनगढी उप-महानगरपालिका - ५ तारानगर सिप विकास नजिक राधाकृष्ण मन्दिर को अधुरो भवन निर्माण निरन्तरता </t>
  </si>
  <si>
    <t xml:space="preserve">धनगढी उप-महानगरपालिका - ५ तारानगर महालक्ष्मी मन्दिर रंगरोगन </t>
  </si>
  <si>
    <t xml:space="preserve">धनगढी उप-महानगरपालिका - ५ तारानगर भगवती मन्दिर पर्खाल निर्माण </t>
  </si>
  <si>
    <t xml:space="preserve">धनगढी उप-महानगरपालिका वडा न. ६ श्री कृष्ण टोल देखी लक्ष्मीनगर जाने सडक ग्राभेल  गर्ने काम </t>
  </si>
  <si>
    <t xml:space="preserve">धनगढी उप-महानगरपालिका वडा न. ७ श्री जनज्योति प्रा.बी. मनेहरामा खानेपानी निर्माण </t>
  </si>
  <si>
    <t xml:space="preserve">धनगढी उप-महानगरपालिका वडा न. ७ जाखौर तालमा धारा निर्माण </t>
  </si>
  <si>
    <t xml:space="preserve">धनगढी उप-महानगरपालिका वडा न. ७ श्री शिब नि.मा.बि. जाखौर तालमा खानेपानी निर्माण </t>
  </si>
  <si>
    <t xml:space="preserve">धनगढी उप-महानगरपालिका वडा न. ७ अधुरो शिब मन्दिर निर्माण निरन्तरता मनेहरा गौडी  </t>
  </si>
  <si>
    <t xml:space="preserve">धनगढी उप-महानगरपालिका वडा न. ७ जाखौर शिब मन्दिर निर्माण </t>
  </si>
  <si>
    <t xml:space="preserve">धनगढी उप-महानगरपालिका वडा न. ७ मनेहरा कालिका मन्दिर पर्खाल निर्माण </t>
  </si>
  <si>
    <t xml:space="preserve">धनगढी उप-महानगरपालिका वडा न. ७ पटेला देउथान घेरबार </t>
  </si>
  <si>
    <t xml:space="preserve">धनगढी उप-महानगरपालिका वडा न. ७ देवरिया सडुवा बाबा मन्दिर  निर्माण </t>
  </si>
  <si>
    <t xml:space="preserve">धनगढी उप-महानगरपालिका वडा न. ७ देवरिया राना भुइया मन्दिर  निर्माण </t>
  </si>
  <si>
    <t xml:space="preserve">धनगढी उप-महानगरपालिका - ८ गंगा मार्ग हुलाकी सडक देखी देखी नाली निर्माण गर्ने काम </t>
  </si>
  <si>
    <t xml:space="preserve">धनगढी उप-महानगरपालिका - ८ नवदुर्गा मन्दिर परिसरमा शौचालय निर्माण </t>
  </si>
  <si>
    <t xml:space="preserve">धनगढी उप-महानगरपालिका - ८ मा विपद व्यवस्थापन कोष का लागी अनुदान </t>
  </si>
  <si>
    <t xml:space="preserve">धनगढी उप-महानगरपालिका - ८ नेपाल रेडक्रस सोसाइटी उप शाखा को भवन मर्मत </t>
  </si>
  <si>
    <t xml:space="preserve">धनगढी उप-महानगरपालिका - ८ धनगढी गाउ मा भुइया माता मन्दिर निर्माण </t>
  </si>
  <si>
    <t xml:space="preserve">धनगढी उप-महानगरपालिका - ८ धनगढी गाउ राधाकृष्ण मन्दिर मर्मत </t>
  </si>
  <si>
    <t xml:space="preserve">धनगढी उप-महानगरपालिका - १० बल्दु रानाको घर हुदै जाने सडक ग्राभेल गर्ने काम </t>
  </si>
  <si>
    <t xml:space="preserve">धनगढी उप-महानगरपालिका - १० वडा कार्यालयमा चर्पी निर्माण  गर्ने काम </t>
  </si>
  <si>
    <t xml:space="preserve">धनगढी उप-महानगरपालिका - १० स्वास्थ्य केन्द्रको पर्खाल निर्माण गर्ने काम </t>
  </si>
  <si>
    <t xml:space="preserve">धनगढी उप-महानगरपालिका - १० रामजानकी मन्दिरमा पर्खाल निर्माण गर्ने काम </t>
  </si>
  <si>
    <t xml:space="preserve">धनगढी उप-महानगरपालिका - १२  बि गाउँ चक्र खड्का को घर देखी वडा न. ११ जोड्ने सडक कालोपत्रे </t>
  </si>
  <si>
    <t>धनगढी उप-महानगरपालिका - १३  आदर्श टोलका शाखा सडक ग्राभेल।</t>
  </si>
  <si>
    <t>धनगढी उप-महानगरपालिका - १३  पिपल बोट देखी उत्तर सडक ग्रावेल (चन्द्र टोल)</t>
  </si>
  <si>
    <t xml:space="preserve">धनगढी उप-महानगरपालिका वडा न.१४ देब थान देखी दक्षिण सरस्वती प्रा.बि. जाने सडक ग्राभेल गर्ने काम </t>
  </si>
  <si>
    <t xml:space="preserve">धनगढी उप-महानगरपालिका वडा न.१४ को चौफेरी ताल दक्षिण मा रहेको अग्लो कल्भर्ट देखी दक्षिण जाने सडक ग्राभेल गर्ने काम </t>
  </si>
  <si>
    <t xml:space="preserve">धनगढी उप-महानगरपालिका वडा न. १४ को चौफेरी ताल संरक्षण एबम प्रवर्द्धन </t>
  </si>
  <si>
    <t>धनगढी उप-महानगरपालिका वडा न. १५ धनगढी उप-महानगरपालिका वडा न. १५ उर्मा कटानका विभिन्न बाटोमा ग्राभेल</t>
  </si>
  <si>
    <t xml:space="preserve">कि.मी. </t>
  </si>
  <si>
    <t xml:space="preserve">धनगढी उप-महानगरपालिका वडा न. १७ पथरी टेपराहन घर देखि पुर्व मनद्रयाहन घर हुदैं सामुदायिक  घर सम्म सडक ग्राभेल </t>
  </si>
  <si>
    <t xml:space="preserve">धनगढी उप-महानगरपालिका वडा न. १७ पथरी छोटेलाल रानाको घर देखि दक्षिण सडक ग्राभेल </t>
  </si>
  <si>
    <t xml:space="preserve">धनगढी उप-महानगरपालिका वडा न. १७ वेहडावा गौशालामा गाई गोठ मर्मत </t>
  </si>
  <si>
    <t xml:space="preserve">धनगढी उप-महानगरपालिका वडा न. १८ बाल मजदुर बाल विकास केन्द्र भवन निर्माण गर्ने काम </t>
  </si>
  <si>
    <t xml:space="preserve">धनगढी उप-महानगरपालिका वडा न. १८ बाल सृजना प्रा.बि. को पर्खाल निर्माण गर्ने काम </t>
  </si>
  <si>
    <t>धनगढी उप-महानगरपालिका वडा न.१९ चन्द्रोदय उ.मा.बि. देखी नुकलिपुर जाने सडक ग्राभेल गर्ने काम</t>
  </si>
  <si>
    <t xml:space="preserve">धनगढी उप-महानगरपालिका वडा न. १९ चन्द्रोदय उ.मा.बि.मा साइकल स्टेन्ड निर्माण </t>
  </si>
  <si>
    <t xml:space="preserve">धनगढी उप-महानगरपालिका वडा न. १८ बहुलिया प्रा.बि. को शौचालय निर्माण गर्ने काम </t>
  </si>
  <si>
    <t xml:space="preserve">धनगढी उप-महानगरपालिका वडा न. २० मा बैदेशिक रोजगार  सम्बन्धी जनचेतनामूलक कार्यक्रम </t>
  </si>
  <si>
    <t xml:space="preserve">धनगढी उप-महानगरपालिका वडा न. १८ मरुवा देउता थान निर्माण </t>
  </si>
  <si>
    <t xml:space="preserve">धनगढी उप-महानगरपालिका वडा न. १८ शिब शान्ति विकास मंच भवन निर्माण </t>
  </si>
  <si>
    <t xml:space="preserve">धनगढी उप-महानगरपालिका वडा न. १८ सामुदायिक अध्यन केन्द्र भवन निर्माण </t>
  </si>
  <si>
    <t xml:space="preserve">धनगढी उप-महानगरपालिका वडा न. १८ शिब मन्दिर मर्मत तथा तारबार </t>
  </si>
  <si>
    <t xml:space="preserve">धनगढी उप-महानगरपालिका वडा न. १९ सामुदायिक अध्यन केन्द्र भवन निर्माण </t>
  </si>
  <si>
    <t xml:space="preserve">धनगढी उप-महानगरपालिका वडा न. १९ जेष्ठ नागरिक दिवा सेवा </t>
  </si>
  <si>
    <t xml:space="preserve">धनगढी उप-महानगरपालिका वडा न. १९ अपांग संघ आयआर्जन </t>
  </si>
  <si>
    <t xml:space="preserve">धनगढी उप-महानगरपालिका वडा न. १९ क्रिकेट खेल संचालन </t>
  </si>
  <si>
    <t xml:space="preserve">धनगढी उप-महानगरपालिका वडा न. २० शिब शक्ति युवा क्लब को लागी ४ सेट होलोजन बत्ति  , पोल र प्यारापिट निर्माण </t>
  </si>
  <si>
    <t xml:space="preserve">धनगढी उप-महानगरपालिका वडा न. २० सैपाल युवा क्लब को खेल मैदान निर्माण तथा खेल सामाग्री </t>
  </si>
  <si>
    <t xml:space="preserve">धनगढी उप-महानगरपालिका वडा न. २० बुद्द युवा क्लब को खेल मैदान निर्माण तथा खेल सामाग्री </t>
  </si>
  <si>
    <t xml:space="preserve">धनगढी उप-महानगरपालिका वडा न. २० सप्तडी युवा क्लब को खेल मैदान निर्माण तथा खेल सामाग्री </t>
  </si>
  <si>
    <t xml:space="preserve">धनगढी उप-महानगरपालिका वडा न. २० न्यु प्रे . युवा क्लब को खेल मैदान निर्माण तथा खेल सामाग्री </t>
  </si>
  <si>
    <t xml:space="preserve">धनगढी उप-महानगरपालिका वडा न. २० शिब मन्दिर निर्माण बि गाउ </t>
  </si>
  <si>
    <t xml:space="preserve">धनगढी उप-महानगरपालिका - ९ मसान घाट जाने बाटो ग्राभेल (शिवनगर टोलमा) </t>
  </si>
  <si>
    <t xml:space="preserve">धनगढी उप-महानगरपालिका - ११ वडा भरी बाटो मर्मत र ग्राभेल </t>
  </si>
  <si>
    <t xml:space="preserve">धनगढी उप-महानगरपालिका - ११ घुम्मन रानाको घर देखि डाडी टोल जाने बाटो ग्राभेल तथा माटो भरान (१ थान ह्युम पाईप सहित) </t>
  </si>
  <si>
    <t xml:space="preserve">धनगढी उप-महानगरपालिका - ११ रामुको घर देखि चौकि सम्म बाटो ग्राभेल र माटो भरान </t>
  </si>
  <si>
    <t xml:space="preserve">धनगढी उप-महानगरपालिका - १३  मट्कन्ना ताल देखि एयरपोर्ट जोड्ने सडक ग्राभेल </t>
  </si>
  <si>
    <t xml:space="preserve">धनगढी उप-महानगरपालिका - १३  भोज राज भट्टको घर देखि उत्तर राम चन्द्र भट्टको घर सम्म सडक ग्राभेल </t>
  </si>
  <si>
    <t xml:space="preserve">धनगढी उप-महानगरपालिका - १३  हिमाली टोल भित्री सडक ग्राभेल </t>
  </si>
  <si>
    <t xml:space="preserve">धनगढी उप-महानगरपालिका - १३  अम्बिका टोल देखि घोरसुवा सम्म सडक ग्राभेल </t>
  </si>
  <si>
    <t xml:space="preserve">धनगढी उप-महानगरपालिका - १३  प्रसाद रानाको घर देखि दक्षिण २०० मी. ग्राभेल </t>
  </si>
  <si>
    <t xml:space="preserve">धनगढी उप-महानगरपालिका - १३  धनगढी खुटिया रोड बाट लक्ष्मिनगर हुदैं कैलाली गाऊँ ग्राभेल,खाल्टा खुल्टी मर्मत </t>
  </si>
  <si>
    <t xml:space="preserve">धनगढी उप-महानगरपालिका वडा न. १५ उर्माको नर्सरी देखि तरवरिया जाने बाटोमा ग्राभेल </t>
  </si>
  <si>
    <t xml:space="preserve">धनगढी उप-महानगरपालिका वडा न. १५ मन्चलि चौक देखि पुर्व पुनाराम चौधरीको घर हुदै उर्मा जोड्ने बाटोमा ग्राभेल </t>
  </si>
  <si>
    <t xml:space="preserve">धनगढी उप-महानगरपालिका वडा न. १५ कनरी बसन्त टोलमा बाटो ग्राभेल </t>
  </si>
  <si>
    <t xml:space="preserve">धनगढी उप-महानगरपालिका वडा न. १७ डुमलिया ३ नं. टोलको बाटो ग्राभेल </t>
  </si>
  <si>
    <t xml:space="preserve">धनगढी उप-महानगरपालिका वडा न. १७ को सहासिपुर टोल मुक्त कमैया शिविरको बाटोमा ग्राभेल </t>
  </si>
  <si>
    <t xml:space="preserve">धनगढी उप-महानगरपालिका - ४ शिवपुरी धामको वहुउद्देशिय हल निर्माण </t>
  </si>
  <si>
    <t xml:space="preserve">धनगढी उप-महानगरपालिका - ४ भगवती मन्दिर यज्ञशाला निर्माण </t>
  </si>
  <si>
    <t xml:space="preserve">धनगढी उप-महानगरपालिका - ११ फुलनहिया टोलमा भुँईया मन्दिर निर्माण </t>
  </si>
  <si>
    <t xml:space="preserve">धनगढी उप-महानगरपालिका वडा न. १६ रामेश्वर मन्दिर भादाको धर्मशाला निर्माण </t>
  </si>
  <si>
    <t xml:space="preserve">धनगढी उप-महानगरपालिका वडा न. ८ सदभाव मार्ग कालोपत्रे गर्ने काम </t>
  </si>
  <si>
    <t xml:space="preserve">धनगढी उप-महानगरपालिका वडा न. ५ देउथान ढुंगे बजार सडक कालोपत्रे गर्ने काम </t>
  </si>
  <si>
    <t xml:space="preserve">धनगढी उप-महानगरपालिका वडा न. ४ ज्योती स्कूल ND पथ कालोपत्रे गर्ने काम </t>
  </si>
  <si>
    <t xml:space="preserve">धनगढी उप-महानगरपालिका वडा न. १ अदालत जाने सडक तथा पक्किनाली निर्माण गर्ने काम </t>
  </si>
  <si>
    <t xml:space="preserve">धनगढी उप-महानगरपालिका वडा न. १ उप-महानगरपालिका रोडमा निर्माणाधीन सपिंग कम्प्लेक्स भवन निर्माण निरन्तरता </t>
  </si>
  <si>
    <t xml:space="preserve">धनगढी उप-महानगरपालिका वडा न.  १२ डी गाउँ हनुमान मन्दिर देखी दक्षिण सेन्टर प्लट जाने सडक कालोपत्रे गर्ने काम </t>
  </si>
  <si>
    <t xml:space="preserve">धनगढी उप-महानगरपालिका वडा न. १६ बेहडा बाबा उच्च मा.बी. जाने सडक कालोपत्रे गर्ने काम </t>
  </si>
  <si>
    <t xml:space="preserve">धनगढी उप-महानगरपालिका वडा न. ८ कान्तिपुर टोल धनगढी गाउँ जाने सडक कालोपत्रे गर्ने काम </t>
  </si>
  <si>
    <t xml:space="preserve">धनगढी उप-महानगरपालिका वडा न. ७ मनेहरा देखी घुइयाघाट जोड्ने सडक कालोपत्रे गर्ने काम </t>
  </si>
  <si>
    <t xml:space="preserve">धनगढी उप-महानगरपालिका वडा न. ९ चौक देखी दलित बस्ति जोड्ने सडक कालोपत्रे गर्ने काम </t>
  </si>
  <si>
    <t xml:space="preserve">धनगढी उप-महानगरपालिका वडा न. ५  लब्ली चौक देखी जाली जाने कालोपत्रे सडक आवाधिक मर्मत गर्ने काम </t>
  </si>
  <si>
    <t xml:space="preserve">धनगढी उप-महानगरपालिका वडा न.  ५ गणेश पन्तको घर अगाडी देखी पन्चोदय पुल सम्म कालोपत्रे सडक आवाधिक मर्मत गर्ने काम </t>
  </si>
  <si>
    <t xml:space="preserve">धनगढी उप-महानगरपालिका वडा न. १२ ए गाउँ देखी सी गाउँ जाने कालोपत्रे  सडक आवाधिक मर्मत गर्ने काम </t>
  </si>
  <si>
    <t xml:space="preserve">धनगढी उप-महानगरपालिका वडा न. ५ हरियाली मार्ग कालोपत्रे सडक आवाधिक मर्मत गर्ने काम </t>
  </si>
  <si>
    <t xml:space="preserve">धनगढी उप-महानगरपालिका वडा न. ७ हुलाकी सडक देखी मनेहरा देखी घुइयाघाट जोड्ने कालोपत्रे सडक आवाधिक मर्मत  गर्ने काम </t>
  </si>
  <si>
    <t xml:space="preserve">धनगढी उप-महानगरपालिका वडा न. ३ मिलन मार्ग कालोपत्रे सडक आवाधिक मर्मत  गर्ने काम </t>
  </si>
  <si>
    <t xml:space="preserve">धनगढी उप-महानगरपालिका वडा न. ३ बडहरा बिरेन्द्र मार्ग कालोपत्रे सडक आवाधीक मर्मत  गर्ने काम </t>
  </si>
  <si>
    <t xml:space="preserve">धनगढी उप-महानगरपालिका वडा न. ३ कन्चन मार्ग कालोपत्रे सडक आवाधीक मर्मत  गर्ने काम </t>
  </si>
  <si>
    <t xml:space="preserve">धनगढी उप-महानगरपालिका वडा न. ८ केशब उपाध्यायको घर पश्चिम तुलाराम जैशीको घर सम्म सडक कालोपत्रे  गर्ने काम </t>
  </si>
  <si>
    <t xml:space="preserve">धनगढी उप-महानगरपालिका वडा न. २०  श्री पन्चोदय मा.बि. का लागि बिज्ञान सामाग्री खरिद र पर्खाल निर्माण गर्ने काम </t>
  </si>
  <si>
    <t xml:space="preserve">धनगढी उप-महानगरपालिका - ६ कृष्ण बन बाटिकामा ढुंगेबजारको यज्ञशाला निर्माण </t>
  </si>
  <si>
    <t xml:space="preserve">धनगढी उप-महानगरपालिका - ६ बिजुलिया शिब मन्दिर निर्माण </t>
  </si>
  <si>
    <t>धनगढी उप-महानगरपालिका एफ गाउँ सिता बस्ति नवदुर्गा मन्दिर निर्माण</t>
  </si>
  <si>
    <t xml:space="preserve">धनगढी उप-महानगरपालिका - ५ शारदा संगीत तथा भजन केन्द्रको संगीत सामाग्री खरिद </t>
  </si>
  <si>
    <t xml:space="preserve">धनगढी उप-महानगरपालिका वडा न. २ कालिका मन्दिर रंगरोगन गर्ने काम </t>
  </si>
  <si>
    <t xml:space="preserve">धनगढी उप-महानगरपालिका वडा न. ३ भोले बाबा मन्दिरको पूर्वाधार निर्माण गर्ने काम </t>
  </si>
  <si>
    <t xml:space="preserve">धनगढी उप-महानगरपालिका वडा न. ६ श्री बासु  देबी उ. मा.बि. मा साइकल स्टेन्ड र पर्खाल निर्माण </t>
  </si>
  <si>
    <t xml:space="preserve">धनगढी उप-महानगरपालिका वडा न. २ रामजानकी मन्दिर भित्र जेष्ठ नागरिकहरुले सचालन गर्दै आइरहेको योग भवनका लागि शौचालय निर्माण </t>
  </si>
  <si>
    <t xml:space="preserve">धनगढी उप-महानगरपालिका वडा न. ५ तारानगर र जाई  थारु समुदायको देउथान निर्माण निरन्तरता </t>
  </si>
  <si>
    <t xml:space="preserve">धनगढी उप-महानगरपालिका वडा न. ७ मनेहरा उज्यालो कृषक समुहमा कृषि पुस्तकालय निर्माण </t>
  </si>
  <si>
    <t xml:space="preserve">धनगढी उप-महानगरपालिका - १३ मट्कन्ना ताल मर्म सुधार (क्रमागत) </t>
  </si>
  <si>
    <t xml:space="preserve">धनगढी उप-महानगरपालिका वडा न. १५ मा  सार्वजनिक शौचालय निर्माण </t>
  </si>
  <si>
    <t xml:space="preserve">धनगढी उप-महानगरपालिका - ५ हसनपुर बेद प्रकाश चौधरीको  घर उत्तर जाई जाने सडकमा नाली निर्माण </t>
  </si>
  <si>
    <t xml:space="preserve">धनगढी उप-महानगरपालिका - ९ कालो पुल देखी बिष्ट टोल जाने सडक निर्माण निरन्तरता  </t>
  </si>
  <si>
    <t xml:space="preserve">धनगढी उप-महानगरपालिका वडा न. ७ नबज्योती प्रा.बि.को अधुरो पर्खाल निर्माण </t>
  </si>
  <si>
    <t xml:space="preserve">धनगढी उप-महानगरपालिका - ६ नब दुर्गा मन्दिरको भवन निर्माण निरन्तरता शुशान्त टोल </t>
  </si>
  <si>
    <t xml:space="preserve">धनगढी उप-महानगरपालिका - ४ नवा देव मन्दिरको कोठा निर्माण </t>
  </si>
  <si>
    <t xml:space="preserve">धनगढी उप-महानगरपालिका - १३  शिव पञ्चायन मन्दिर अधुरो भवन निर्माण </t>
  </si>
  <si>
    <t xml:space="preserve">धनगढी उप-महानगरपालिका - १३ हिमाली टोल पिपल चौतारा पुर्व मन्दिर तथा शौचालय निर्माण </t>
  </si>
  <si>
    <t xml:space="preserve">धनगढी उप-महानगरपालिका - १३  दुर्गा टोल खेल मैदान मर्मत सुधार </t>
  </si>
  <si>
    <t xml:space="preserve">धनगढी उप-महानगरपालिका - १३  लक्ष्मिनगर भगवति मन्दिर निर्माण </t>
  </si>
  <si>
    <t xml:space="preserve">धनगढी उप-महानगरपालिका वडा न. १६  श्री जनज्योति प्रा .बी.  को २ कोठे भूकम्प प्रतिरोधात्मक भवन निर्माण गर्ने काम </t>
  </si>
  <si>
    <t xml:space="preserve">धनगढी उप-महानगरपालिका वडा न. १ पतंजली योग भवनमा महिला शौचालय निर्माण </t>
  </si>
  <si>
    <t xml:space="preserve">धनगढी उप-महानगरपालिका वडा न. ७ मनेहरा तिल्की टोलमा तिल्की महिला समुह लाई सिचाई बोरिंग निर्माण </t>
  </si>
  <si>
    <t xml:space="preserve">धनगढी उप-महानगरपालिका वडा न. २ बद्रीनाथ सामुदायिक अध्यन केन्द्र भित्र महिला शसक्तिकरण केन्द्रको लागी पूर्वाधार निर्माण </t>
  </si>
  <si>
    <t xml:space="preserve">धनगढी उप-महानगरपालिका वडा न. १९ र २० जोड्ने मुक्त कमैया सिबिर भित्रको सडक ग्राभेल गर्ने काम </t>
  </si>
  <si>
    <t xml:space="preserve">धनगढी उप-महानगरपालिका - ५ तारानगर बाल बिहानी दक्षिण चौधरी टोल जाने सडकमा पक्कि नाली निर्माण गर्ने काम </t>
  </si>
  <si>
    <t xml:space="preserve">धनगढी उप-महानगरपालिका वडा न.  ६ जाली बोरिंग शिवनगर देखी दोघरा जाने सडक कालोपत्रे गर्ने काम </t>
  </si>
  <si>
    <t xml:space="preserve">धनगढी उप-महानगरपालिका - १२ ए गाउँ देखी जकल्याण उ.मा.बी. जोड्ने सडक कालोपत्रे निरन्तरता </t>
  </si>
  <si>
    <t xml:space="preserve">धनगढी उप-महानगरपालिका - ११ पिपल चौतारा नजिकै खालि जग्गामा नागरिक सचेतना केन्द्रको बैठक भवन </t>
  </si>
  <si>
    <t xml:space="preserve">धनगढी उप-महानगरपालिका - १२ बौद्द स्तुपा डाडा गाउँमा महिला शौचालय निर्माण </t>
  </si>
  <si>
    <t xml:space="preserve">धनगढी उप-महानगरपालिका वडा न. १६ उर्मा स्वासस्थ्य चौकी भित्र संचालन भइरहेको बर्थिंग सेन्टरको अधुंरो पक्की पर्खाल निर्माण </t>
  </si>
  <si>
    <t xml:space="preserve">धनगढी उप-महानगरपालिका - ११का महिलाहरु लाई  धुम्रपान, मद्यपान तथा कुलत सम्बन्धी जनचेतना मुलक कार्यक्रम </t>
  </si>
  <si>
    <t xml:space="preserve">धनगढी उप-महानगरपालिका वडा न. १६ हिसांमा परेका महिला र विपन्न महिलाहरु लाई लैंगिक हिंसा सम्बन्धि जनचेतना मुलक तालिम </t>
  </si>
  <si>
    <t>धनगढी उप-महानगरपालिका वडा न. ९  दन तथा दरि बुन्ने तालिम</t>
  </si>
  <si>
    <t>धनगढी उप-महानगरपालिका वडा न. ९ बेमौसमी तरकारी खेति तालिम</t>
  </si>
  <si>
    <t>धनगढी उप-महानगरपालिका वडा न. ९ साडीमा सीतारा भर्ने तालिम</t>
  </si>
  <si>
    <t xml:space="preserve">धनगढी उप-महानगरपालिका वडा न. २ मदरसा गोसियनमा फर्निचर निर्माण गर्ने काम </t>
  </si>
  <si>
    <t xml:space="preserve">धनगढी उप-महानगरपालिका - ११ जनकल्याण उच्च मा.बी.मा बिज्ञान प्रयोगशाला सामग्री खरिद </t>
  </si>
  <si>
    <t xml:space="preserve">दुर्गा नि.मा.बि (Aगाऊँ) को कम्पाउण्ड निर्माणमा निरन्तरता र २ वटा गेट निर्माण </t>
  </si>
  <si>
    <t xml:space="preserve">शारदा मा.वि.को अधुरो खेल मैदान निर्माण निरन्तर </t>
  </si>
  <si>
    <t xml:space="preserve">धनगढी उप-महानगरपालिका - १३ जनता वाल क्लबका लागि फर्निचर </t>
  </si>
  <si>
    <t xml:space="preserve">धनगढी उप-महानगरपालिका - १३ बालविकास  केन्द्र दुर्गा टोल शैक्षिक सामाग्री </t>
  </si>
  <si>
    <t xml:space="preserve">धनगढी उप-महानगरपालिका - १३ वालविकास केन्द्र दुर्गा टोल खानेपानी </t>
  </si>
  <si>
    <t xml:space="preserve">धनगढी उप-महानगरपालिका - १३ वालविकास केन्द्र लक्ष्मीनगर अधुरो भवन निर्माण (क्रमागत) </t>
  </si>
  <si>
    <t xml:space="preserve">धनगढी उप-महानगरपालिका - १३ वालवालिका आवासका लागी २ कोठे भवन (निङ्लासैनी गुरुकुल विद्यालय) </t>
  </si>
  <si>
    <t xml:space="preserve">धनगढी उप-महानगरपालिका वडा न. १६  जनज्योती प्रा.वि. घुरहीको  पर्खाल निर्नमाण </t>
  </si>
  <si>
    <t xml:space="preserve"> धनगढी उप-महानगरपालिका वडा न. १७ सज्जन नि.मा.वि.डुमलियाको अधुरो पक्कि पर्खाल निर्माण </t>
  </si>
  <si>
    <t xml:space="preserve">धनगढी उप-महानगरपालिका वडा न. ७ सामुदायिक विद्यालयमा लागूऔषध तथा दुर्बेसनी सम्बन्धि जनचेतनामुलक कार्यक्रम </t>
  </si>
  <si>
    <t xml:space="preserve">धनगढी उप-महानगरपालिका वडा न. १६ वालवालिकाहरु लाई नेतृत्व विकास तालिम </t>
  </si>
  <si>
    <t xml:space="preserve">धनगढी उप-महानगरपालिका वडा न. १६ का सामुदायिक बिद्यालय लाई खेलकुद सामाग्री खरिद </t>
  </si>
  <si>
    <t>धनगढी उप-महानगरपालिका वडा नम्बर २ मा बेमौसमी तरकारी तालिम जागृति नागरिक सचेतना केन्द्रका सहभागीहरु लाई ( बिउ खरिद सहित )</t>
  </si>
  <si>
    <t xml:space="preserve">धनगढी उप-महानगरपालिका वडा न. ९ मा सरसफाइ समूह गठन गरि  महिलाहरुका लागि स्वास्थ्य तथा सरसफाई सम्बन्धि तालिम </t>
  </si>
  <si>
    <t xml:space="preserve">धनगढी उप-महानगरपालिका वडा न. १६  सतघरुवा मुक्त कमैया सिविर जाने बाटोमा कल्भर्ट निर्माण </t>
  </si>
  <si>
    <t xml:space="preserve">धनगढी उप-महानगरपालिका - ४ रीतु खतिवडाको घर देखि दक्षिणकाली मार्ग सम्म ढल निकास तथा कालो पत्रे </t>
  </si>
  <si>
    <t>धनगढी उप-महानगरपालिका - ४ गणेश राना मगरको घर देखि पुर्व पट्टि ५००मि. सडक कालोपत्रे तथा ढलनिकास (शिवनगर टोल)</t>
  </si>
  <si>
    <t xml:space="preserve">धनगढी उप-महानगरपालिका वडा न. १६  रुन्चे सार्कीको टोलमा जाने खोलामा पक्की पुल निर्माण </t>
  </si>
  <si>
    <t xml:space="preserve">धनगढी उप-महानगरपालिका - ६ जालीमा देउथान निर्माण </t>
  </si>
  <si>
    <t xml:space="preserve">धनगढी उप-महानगरपालिका - ६ बिश्वनाथ मन्दिर मर्मत </t>
  </si>
  <si>
    <t xml:space="preserve">धनगढी उप-महानगरपालिका वडा न. ७ बेली हनुमान  मन्दिरको घेरबार निर्माण </t>
  </si>
  <si>
    <t xml:space="preserve">धनगढी उप-महानगरपालिका - १३ दुर्गा भवानी मन्दिर सत्तसंग भवन निर्माण </t>
  </si>
  <si>
    <t>२०७३ पौष २८ गते सम्पन्न धनगढी उप-महानगरपालिकाको दोश्रो नगर परिषदबाट पारित गरी आर्थिक बर्ष  २०७४ / २०७५ मा  प्रवर्द्धनात्मक क्षेत्र तर्फ कार्यान्वयन गरिने आयोजनाहरु  :</t>
  </si>
  <si>
    <t>२०७३ पौष २८ गते सम्पन्न धनगढी उप-महानगरपालिकाको दोश्रो नगर परिषदबाट पारित गरी आर्थिक बर्ष  २०७४ / २०७५  मा आर्थिक , सामाजिक  एबम भौतिक पूर्वाधार विकास तर्फ कार्यान्वयन गरिने आयोजनाहरु  :</t>
  </si>
  <si>
    <t>२०७३ पौष २८ गते सम्पन्न  धनगढी उप-महानगरपालिकाको दोश्रो नगर परिषदबाट पारित गरी आर्थिक बर्ष  २०७४ / २०७५  मा आर्थिक तथा सामाजिक रुपमा पछि परेका बिपन्न वर्गहरुले  प्रत्यक्ष फाईदा पाउने  तर्फ कार्यान्वयन गरिने आयोजनाहरु  :</t>
  </si>
  <si>
    <t>२०७३ पौष २८ गते सम्पन्न धनगढी उप-महानगरपालिकाको दोश्रो नगर परिषदबाट पारित गरी आर्थिक बर्ष  २०७४ / २०७५  मा बालबालिकालाई प्रत्यक्ष फाईदा पुग्ने तर्फ कार्यान्वयन गरिने आयोजनाहरु  :</t>
  </si>
  <si>
    <t>२०७३ पौष २८ गते सम्पन्न  धनगढी उप-महानगरपालिकाको दोश्रो नगर परिषदबाट पारित गरी आर्थिक बर्ष  २०७४ / २०७५  मा महिलालाई प्रत्यक्ष फाईदा पुग्ने तर्फ कार्यान्वयन गरिने आयोजनाहरु  :</t>
  </si>
  <si>
    <t>२०७३ पौष २८ गते सम्पन्न  धनगढी उप-महानगरपालिकाको दोश्रो नगर परिषदबाट पारित गरी आर्थिक बर्ष  २०७४ / २०७५  मा  ठूला पूर्वाधार तर्फका  तर्फ कार्यान्वयन गरिने आयोजनाहरु  :</t>
  </si>
  <si>
    <t>२०७३ पौष २८ गते सम्पन्न  धनगढी उप-महानगरपालिकाको दोश्रो नगर परिषदबाट पारित गरी आर्थिक बर्ष  २०७४/२०७५  मा नगरक्षेत्र पूर्वाधार विकास कार्यक्रम  तर्फका कार्यान्वयन गरिने आयोजनाहरु  :</t>
  </si>
  <si>
    <t xml:space="preserve">धनगढी उप-महानगरपालिका वडा न. ४ केशब चन्दको घर उत्तर पश्चिम हुदै कासिराम उपाध्यायको घर सम्म पक्कि नाली  निर्माण </t>
  </si>
  <si>
    <t xml:space="preserve">धनगढी उप-महानगरपालिका वडा न. ३ केदार टोल देखी चटकपुर जोड्ने सडक कालो पत्रे गर्ने काम </t>
  </si>
  <si>
    <t xml:space="preserve">लागत सहभागिता </t>
  </si>
  <si>
    <t xml:space="preserve">धनगढी उप-महानगरपालिका वडा न. ७ देवरिया पटेला जोड्ने जाखोर नालामा पक्कि कल्भर्ट निर्माण  गर्ने काम </t>
  </si>
  <si>
    <t xml:space="preserve">धनगढी उप-महानगरपालिका वडा न. ८ राम जानकी टोल राधाकृष्ण चौधरीको घर जाने सडक पुर्व देखि कालोपत्रे निर्माण </t>
  </si>
  <si>
    <t xml:space="preserve">धनगढी उप-महानगरपालिका वडा न. १७ भानु मा.बि. पथरी नजिक शिव गंगा नदिमा तटबन्धन </t>
  </si>
  <si>
    <t xml:space="preserve">धनगढी उप-महानगरपालिका - ४ राष्ट्रिय मा.बि.  फर्निचर निर्माण   </t>
  </si>
  <si>
    <t xml:space="preserve">धनगढी उप-महानगरपालिका - ५ तारानगर गौरा महेश्वर मन्दिर रंगरोगन </t>
  </si>
  <si>
    <t xml:space="preserve">धनगढी उप-महानगरपालिका वडा नम्बर - ५ एकल महिलाहरुको भवन मा पर्खाल निर्माण गर्ने काम </t>
  </si>
  <si>
    <t xml:space="preserve">धनगढी उप-महानगरपालिका वडा न.१ लक्ष्मीनागरको पुरानो नाली मर्मत तथा  अधुरो नाली निर्माण निरन्तरता </t>
  </si>
  <si>
    <t xml:space="preserve">धनगढी उप-महानगरपालिका - ११ प्रेम रानाको पसल देखि गाउँको  मेन सडक पिपल चौतारा सम्म बाटो कालो पत्रे ( निरन्तरता तथा मर्मत ) </t>
  </si>
  <si>
    <t xml:space="preserve">धनगढी उप-महानगरपालिका वडा न. ७  शारदा रानाको घर देखी देवरिया चन्द्र कोरालको घर सम्म सडक कालोपत्रे तथा मर्मत </t>
  </si>
  <si>
    <t xml:space="preserve">धनगढी उप-महानगरपालिका - ५ जाई चौराहा पुर्व भैरब मन्दिर जाने सडक कालोपत्रे सडक मर्मत तथा निर्माण निरन्तरता </t>
  </si>
  <si>
    <t xml:space="preserve">धनगढी उप-महानगरपालिका - २ हरि बिस्ट को घर देखि डम्मर सुनारको घर सम्म सडक कालोपत्रे </t>
  </si>
  <si>
    <t xml:space="preserve">धनगढी उप-महानगरपालिका वडा नम्बर - ४  महिला हस्तकला ग्रामको भवन निर्माण </t>
  </si>
  <si>
    <t xml:space="preserve">धनगढी उप-महानगरपालिका वडा नम्बर - ४ आदर्श सेवा समाजमा आबद्द महिलाहरुको तालिमहलको लागी फर्निचर खरिद </t>
  </si>
  <si>
    <t xml:space="preserve">धनगढी उप-महानगरपालिका वडा न. १५ शिब गंगा नि.मा.बी. नजिक शिब गंगा नदीमा तटबन्ध निर्माण </t>
  </si>
  <si>
    <t xml:space="preserve">धनगढी उप-महानगरपालिका वडा न. १८  फुलवारी नि.मा.बि. देखी चौधरी बस्ति जाने सडक कालोपत्रे गर्ने काम </t>
  </si>
  <si>
    <t xml:space="preserve">धनगढी उप-महानगरपालिका वडा न. ५ CMA क्याम्पस देखी उत्तर  AVN स्कूल सम्म कालोपत्रे सडक आवाधिक मर्मत गर्ने काम </t>
  </si>
  <si>
    <t xml:space="preserve">धनगढी उप-महानगरपालिका वडा न. ५ पुरानो हसनपुर शिवनगर न्यु रोड कालोपत्रे  गर्ने काम </t>
  </si>
  <si>
    <t>२०७३ पौष २८ गते सम्पन्न  धनगढी उप-महानगरपालिकाको दोश्रो नगर परिषदबाट पारित गरी आर्थिक बर्ष  २०७४ / २०७५  मा क्षेत्रीय शहरी विकास आयोजना अन्तर्गत कार्य सम्पादन अनुदान तर्फ कार्यान्वयन गरिने आयोजनाहरु  :</t>
  </si>
  <si>
    <t xml:space="preserve">धनगढी उप-महानगरपालिका - ५ हसनपुर पारस बहादुर सिंह को घर अगाडि पक्कि नाली निर्माण </t>
  </si>
  <si>
    <t xml:space="preserve">१ देखी २० </t>
  </si>
  <si>
    <t xml:space="preserve">धनगढी उप-महानगरपालिका वडा न. ३ त्रिभुवन उच्च मा.बी. का  लागी बिज्ञान प्रयोगसालाका लागि सामाग्री खरिद </t>
  </si>
  <si>
    <t xml:space="preserve">धनगढी उप-महानगरपालिका - १९ गोही नालामा खोलामा पक्कि कल्भर्ट निर्माण </t>
  </si>
  <si>
    <t xml:space="preserve">धनगढी उप-महानगरपालिका - २० प्रयाग गिरीको घर नजिक बझांगी नालामा कल्भर्ट  निर्माण </t>
  </si>
  <si>
    <t xml:space="preserve">धनगढी उप-महानगरपालिका - १९ मा पशु हाट बजार निर्माण गर्ने काम </t>
  </si>
  <si>
    <t>धनगढी उप-महानगरपालिका - १८ आई गाउँ जोग बहादुरको घर नजिकको खोलामा पक्कि कल्भर्ट निर्माण</t>
  </si>
  <si>
    <t xml:space="preserve">धनगढी उप-महानगरपालिका वडा नम्बर - ५ सुकुटी नालामा तटबन्ध निर्माण </t>
  </si>
  <si>
    <t xml:space="preserve">सख्या </t>
  </si>
  <si>
    <t xml:space="preserve">धनगढी उप-महानगरपालिका वडा नम्बर -  १८ फुलवारी क्याम्पसको वाल निर्माण </t>
  </si>
  <si>
    <t xml:space="preserve">धनगढी उप-महानगरपालिका वडा नम्बर -  १ नेपाल पत्रकार महासंघको भवन  निर्माण </t>
  </si>
  <si>
    <t xml:space="preserve">धनगढी उप-महानगरपालिका वडा नम्बर -  १ सेतो पुल सरस्वती बस्नेतको घर नजिक नालामा तटबन्ध  निर्माण </t>
  </si>
  <si>
    <t xml:space="preserve">धनगढी उप-महानगरपालिका वडा नम्बर - १५  मेलमिलाप कर्ता समाज मेलमिलाप कार्यक्रम संचालन उर्मा </t>
  </si>
  <si>
    <t xml:space="preserve">धनगढी उप-महानगरपालिका वडा नम्बर - १६ होम स्टे लाई मोहत्सवमा सहयोग </t>
  </si>
  <si>
    <t xml:space="preserve">धनगढी उप-महानगरपालिका वडा नम्बर - १६ भादा मोहत्सवमा भलिबल प्रतियोगिता </t>
  </si>
  <si>
    <t xml:space="preserve">धनगढी उप-महानगरपालिका वडा नम्बर - कराते प्रतियोगिता </t>
  </si>
  <si>
    <t xml:space="preserve">धनगढी उप-महानगरपालिका वडा नम्बर -४ श्री राष्ट्रिय मा.बि.  दक्षिण तेजु जोशीको घर जाने सडक कालोपत्रे गर्ने काम </t>
  </si>
  <si>
    <t xml:space="preserve">धनगढी उप-महानगरपालिका वडा नम्बर -४  गंगा आचार्यको घर दक्षिण पश्चिम सडक ग्राभेल गर्ने काम </t>
  </si>
  <si>
    <t xml:space="preserve">धनगढी उप-महानगरपालिका वडा नम्बर - २ मिन बहादुर खत्रीको घर बाट एस.पी.ए. कलेज जाने सडक कालोपत्रे </t>
  </si>
  <si>
    <t xml:space="preserve">धनगढी उप-महानगरपालिका वडा नम्बर - ५ तारानगर बेहडी जोड्ने  पुल किनारमा नाली तथा टेवा पर्खाल निर्माण गर्ने काम </t>
  </si>
  <si>
    <t xml:space="preserve">धनगढी उप-महानगरपालिका वडा नम्बर - १ दशरथ भिम उधान भित्र गहिरो नल्का गाड्ने काम </t>
  </si>
  <si>
    <t xml:space="preserve">धनगढी उप-महानगरपालिका वडा नम्बर - १ मदन आश्रीत पुस्तकालयका लागी फर्निचर खरिद </t>
  </si>
  <si>
    <t xml:space="preserve">धनगढी उप-महानगरपालिका वडा नम्बर - ८ क्याम्पस रोड देखी सेतो पुल सम्म पक्कि नाली निर्माण </t>
  </si>
  <si>
    <t xml:space="preserve">धनगढी उप-महानगरपालिका कार्यालयको भ्याको लोडर मर्मत गर्ने काम </t>
  </si>
  <si>
    <t xml:space="preserve">धनगढी उप-महानगरपालिका वडा - ५ नम्बर आमाको माया छात्र बासको कोठा निर्माण </t>
  </si>
  <si>
    <t xml:space="preserve">धनगढी उप-महानगरपालिका वडा नम्बर - १ शारदा संगीत  भजन केन्द्रको लागी सामाग्री खरिद </t>
  </si>
  <si>
    <t xml:space="preserve">धनगढी उप-महानगरपालिका वडा नम्बर - १७ हिरापुर कमैया शिबिर जाने सडकमा पक्कि कल्भर्ट निर्माण </t>
  </si>
  <si>
    <t xml:space="preserve">धनगढी उप-महानगरपालिका वडा नम्बर - १ नेपाल रेडक्रस पछाडी सत्य साई केन्द्र मर्मत </t>
  </si>
  <si>
    <t xml:space="preserve">धनगढी उप-महानगरपालिका वडा नम्बर -४  दिपनगर टोलमा सडक कालोपत्रे गर्ने काम </t>
  </si>
  <si>
    <t xml:space="preserve">धनगढी उप-महानगरपालिका वडा नम्बर -४  प्रतिभा टोल सडक कालोपत्रे गर्ने काम </t>
  </si>
  <si>
    <t xml:space="preserve">धनगढी उप-महानगरपालिका वडा नम्बर - १ अन्चल अस्पताल देखी जिल्ला प्रशासन कार्यालय सम्म सडक मर्मत </t>
  </si>
  <si>
    <t xml:space="preserve">धनगढी उप-महानगरपालिका वडा नम्बर - १ कैलाली पुल देखी जी.बि.स. सम्म सडक मर्मत </t>
  </si>
  <si>
    <t xml:space="preserve">धनगढी उप-महानगरपालिका वडा नम्बर - १ जी.बि.स. देखी अस्पताल सम्म सडक मर्मत </t>
  </si>
  <si>
    <t xml:space="preserve">धनगढी उप-महानगरपालिका वडा नम्बर - १ सेती अस्पताल अगाडी सडक मर्मत </t>
  </si>
  <si>
    <t xml:space="preserve">धनगढी उप-महानगरपालिका वडा नम्बर - ५ हसनपुर चम्पा राइस मिल जाने सडक मर्मत </t>
  </si>
  <si>
    <t xml:space="preserve">धनगढी उप-महानगरपालिका वडा नम्बर - २ ग्वाशी समैजी मन्दिरमा शौचालय निर्माण </t>
  </si>
  <si>
    <t xml:space="preserve">धनगढी उप-महानगरपालिका वडा नम्बर - २ कृष्णनगर सडक कालोपत्रे गर्ने काम </t>
  </si>
  <si>
    <t xml:space="preserve">धनगढी उप-महानगरपालिका वडा नम्बर - १ रघुनाथ टोल नाली निर्माण गर्ने काम </t>
  </si>
  <si>
    <t xml:space="preserve">धनगढी उप-महानगरपालिका वडा नम्बर - २ बैयाबेहडी मयुर  बोर्डिंग स्कूल सडक ग्राभेल गर्ने काम </t>
  </si>
  <si>
    <t xml:space="preserve">धनगढी उप-महानगरपालिका वडा नम्बर - २ पुष्प कुवरको घर देखी तपेन्द्र महताको घर सम्म सडक कालोपत्रे गर्ने काम </t>
  </si>
  <si>
    <t xml:space="preserve">धनगढी उप-महानगरपालिका वडा नम्बर - २ खप्तड चौक देखी पुष्प कुवरको घर सम्म सडक कालोपत्रे गर्ने काम </t>
  </si>
  <si>
    <t xml:space="preserve">धनगढी उप-महानगरपालिका वडा नम्बर - २ दिनेश मेटल देखी पश्चिम बैंक अफ काठमाडौं  सम्म सडक कालोपत्रे मर्मत गर्ने काम </t>
  </si>
  <si>
    <t xml:space="preserve">धनगढी उप-महानगरपालिका वडा नम्बर - २ बैंक अफ काठमाडौं  देखी ट्राफिक चौराहा सम्म सडक कालोपत्रे मर्मत गर्ने काम </t>
  </si>
  <si>
    <t xml:space="preserve">धनगढी उप-महानगरपालिका वडा नम्बर - ४  एन.आई.डी.सी. देखी पुर्व शान्ति टोलका शाखा सडक ग्राभेल गर्ने काम </t>
  </si>
  <si>
    <t xml:space="preserve">धनगढी उप-महानगरपालिका वडा नम्बर - ३ भन्सार टोलमा सडक कालोपत्रे गर्ने काम </t>
  </si>
  <si>
    <t xml:space="preserve">धनगढी उप-महानगरपालिका वडा नम्बर - १६ बेहड़ा बाबा परिसरमा आर्टिजन धारा निर्माण </t>
  </si>
  <si>
    <t xml:space="preserve">धनगढी उप-महानगरपालिका वडा नम्बर -  ४ रातोपुल सुदुर सन्देशको कार्यालय जाने सडक कालोपत्रे गर्ने काम </t>
  </si>
  <si>
    <t xml:space="preserve">धनगढी उप-महानगरपालिका वडा नम्बर -  २ बद्रीनाथ सामुदायिक अध्यन केन्द्रको भवन निर्माण गर्ने काम </t>
  </si>
  <si>
    <t xml:space="preserve">धनगढी उप-महानगरपालिका वडा नम्बर - १ नेपाल रेडक्रसको सब बाहन मर्मत </t>
  </si>
  <si>
    <t xml:space="preserve">धनगढी उप-महानगरपालिका वडा नम्बर - १ शान्ति बाल उद्यान रंगरोगन </t>
  </si>
  <si>
    <t xml:space="preserve">धनगढी उप-महानगरपालिका वडा नम्बर - १ शिवनगर खानेपानी जाने सडक कालोपत्रे तथा मर्मत </t>
  </si>
  <si>
    <t xml:space="preserve">धनगढी उप-महानगरपालिका -  ५ राष्ट्रिय नि.मा.बि. पुर्व जाने सडक ग्राभेल गर्ने काम </t>
  </si>
  <si>
    <t xml:space="preserve">मेला प्रदर्शनी </t>
  </si>
  <si>
    <t xml:space="preserve">नगर गतिविधि डकुमेन्ट्री निर्माण र प्रशारण </t>
  </si>
  <si>
    <t xml:space="preserve">खोलानाला अतिक्रमण हटाउ अभियान संचालन र अध्यन </t>
  </si>
  <si>
    <t xml:space="preserve">बस पार्क टर्मिनल भवन निर्माण </t>
  </si>
  <si>
    <t xml:space="preserve">कन्टेन्जेन्सी </t>
  </si>
  <si>
    <t xml:space="preserve">समपुरक कोष </t>
  </si>
  <si>
    <t xml:space="preserve">सडक बत्ति जडान </t>
  </si>
  <si>
    <t xml:space="preserve">विपद व्यवस्थापन कोष </t>
  </si>
  <si>
    <t xml:space="preserve">मर्मत सम्भार कोष </t>
  </si>
  <si>
    <t xml:space="preserve">वातावरण कोष </t>
  </si>
  <si>
    <t xml:space="preserve">क्षेत्रिय अध्यन केन्द्र संचालन </t>
  </si>
  <si>
    <t xml:space="preserve">विनियम तर्जुमा कार्यविधि सहित </t>
  </si>
  <si>
    <t xml:space="preserve">सुचना केन्द्र ब्यवस्थापन </t>
  </si>
  <si>
    <t xml:space="preserve">कर्मचारीको क्षमता विकास </t>
  </si>
  <si>
    <t xml:space="preserve">नगरविकास ऋण आयोजना </t>
  </si>
  <si>
    <t xml:space="preserve">आन्तरिक ऋणको सवा भुक्तानी </t>
  </si>
  <si>
    <t xml:space="preserve">सडक ग्राभेल टिप्पर भ्याको लोडर  संचालन खर्च </t>
  </si>
  <si>
    <t xml:space="preserve">परामर्श सेवा अध्यन </t>
  </si>
  <si>
    <t xml:space="preserve">बिषयगत गुरु योजना </t>
  </si>
  <si>
    <t xml:space="preserve">सहरी स्वास्थ्य कार्यक्रम </t>
  </si>
  <si>
    <t xml:space="preserve">राजश्व सुधार कार्यक्रम </t>
  </si>
  <si>
    <t xml:space="preserve">सार्बजनिक निजि साझेदारी कार्यक्रम </t>
  </si>
  <si>
    <t xml:space="preserve">स्थानीय शासन तथा सामुदायिक विकास कार्यक्रम </t>
  </si>
  <si>
    <t xml:space="preserve">गत बिगतका अधुरा योजनाहरु </t>
  </si>
  <si>
    <t>२०७३ पौष २८ गते सम्पन्न  धनगढी उप-महानगरपालिकाको दोश्रो नगर परिषदबाट पारित गरी आर्थिक बर्ष  २०७४ / २०७५  मा  संचालन हुने अन्य कार्यक्रम तथा आयोजनाहरु  :</t>
  </si>
  <si>
    <t xml:space="preserve">पोल हुमपाईप खरिद </t>
  </si>
  <si>
    <t xml:space="preserve">फोहरमैला व्यवस्थापन / सरसफाई </t>
  </si>
  <si>
    <t xml:space="preserve">सवारीसाधन खरिद , फर्निचर र मेसिन औजार </t>
  </si>
  <si>
    <t xml:space="preserve">जग्गा खरिद </t>
  </si>
  <si>
    <t xml:space="preserve">सौरिय सडक बत्ति कार्यक्रम </t>
  </si>
  <si>
    <t xml:space="preserve">धनगढी उप-महानगरपालिकाका बिभिन्न वडाका लागी हुमपाईप खरिद  गर्ने काम </t>
  </si>
  <si>
    <t xml:space="preserve">धनगढी उप-महानगरपालिका वडा न. २ महालक्ष्मी विकास बैक देखी चन्दन टाकिज हुदै जाने  सडक तथा पक्किनाली निर्माण गर्ने काम </t>
  </si>
  <si>
    <t xml:space="preserve">पूँजीगत तर्फ </t>
  </si>
  <si>
    <t xml:space="preserve">संचालन गर्नु पर्ने योजनाहरु </t>
  </si>
  <si>
    <t xml:space="preserve">नयांबस्ती श्रीलंका टोल कैलाली नालामा तटबन्धन </t>
  </si>
  <si>
    <t xml:space="preserve"> </t>
  </si>
  <si>
    <t xml:space="preserve">मनोज नेपालीको घर देखि दक्षिण जाने बाटो कालोपत्रे </t>
  </si>
  <si>
    <t>गाउँ बीच सडक कालोपत्रे निरन्तरता</t>
  </si>
  <si>
    <t xml:space="preserve">मसानघाट मोहना नदीमा तटबन्धन </t>
  </si>
  <si>
    <t xml:space="preserve">खुटिया टोल नदी नियन्त्रण , स्पर  निर्माण </t>
  </si>
  <si>
    <t xml:space="preserve">चालु तर्फ </t>
  </si>
  <si>
    <t xml:space="preserve">बाख्रा पालन / खोर व्यवस्थापन तथा बाख्रा बितरण </t>
  </si>
  <si>
    <t>सबै</t>
  </si>
  <si>
    <t xml:space="preserve">कुपोषण न्युनिकरण सम्बन्धि तालिम </t>
  </si>
  <si>
    <t xml:space="preserve">विपद जोखिम न्युनिकरण तालिम </t>
  </si>
  <si>
    <t xml:space="preserve">Street food गुणस्तर सुधार सम्बन्धि तालिम </t>
  </si>
  <si>
    <t xml:space="preserve">वृक्षारोपण नदी किनारा कटान योजनामा विभिन्न आवश्यक स्थानहरु </t>
  </si>
  <si>
    <t xml:space="preserve">नेत्रित्व विकास तालिम, उदघोषण तालिम  महिलाहरुको लागि </t>
  </si>
  <si>
    <t xml:space="preserve">अबलोकन भ्रमण </t>
  </si>
  <si>
    <t xml:space="preserve">बेमौसमी तरकारी खेती </t>
  </si>
  <si>
    <t xml:space="preserve">साडी कडाई तालिम </t>
  </si>
  <si>
    <t xml:space="preserve">भूकम्प प्रतिरोधी डकर्मीहरुका लागि तालिम </t>
  </si>
  <si>
    <t xml:space="preserve">प्लम्विङ्ग / सेनिटेरी फिटिंग समन्धी तालिम </t>
  </si>
  <si>
    <t>खानेपानी व्यवस्थापन</t>
  </si>
  <si>
    <t>१८,१९,२०</t>
  </si>
  <si>
    <t>छाउपडी, वालविवाह घरेलु हिंशा सम्बन्धि जनचेतनामुलक कार्यक्रम</t>
  </si>
  <si>
    <t>बैदेशिक रोजगारी सम्बन्धि अभिमुखीकरण कार्यक्रम</t>
  </si>
  <si>
    <t>भवन संहिता कार्यन्वयन कार्यक्रम</t>
  </si>
  <si>
    <t>वाल उद्धान निर्माण  (बस पार्क नजिक)</t>
  </si>
  <si>
    <t xml:space="preserve">धनगढी उप-महानगरपालिका क्षेत्र विस्तार कार्यक्रम अनुदान </t>
  </si>
  <si>
    <t>२०७३ पौष २८ गते सम्पन्न  धनगढी उप-महानगरपालिकाको दोश्रो नगर परिषदबाट पारित गरी आर्थिक बर्ष  २०७४ / २०७५  मा  संचालन हुने सिमा क्षेत्र विकास कार्यक्रम तथा आयोजनाहरु  :</t>
  </si>
  <si>
    <t xml:space="preserve">प्लम्विङ्ग समन्धी तालिम </t>
  </si>
  <si>
    <t>१,२,३</t>
  </si>
  <si>
    <t>साडी तथा घुम्टी कडाई गर्ने तालिम</t>
  </si>
  <si>
    <t>१,२</t>
  </si>
  <si>
    <t xml:space="preserve">दुना, टपरी बनाउने तालिम मसिन सहित खरिद गर्ने </t>
  </si>
  <si>
    <t xml:space="preserve">व्यूटीपार्लर सम्बन्धि तालिम </t>
  </si>
  <si>
    <t xml:space="preserve"> डकर्मीहरुका लागि भूकम्प सम्बन्धि तालिम </t>
  </si>
  <si>
    <t xml:space="preserve"> ड्राइभिङ्ग तालिम</t>
  </si>
  <si>
    <t xml:space="preserve"> नास्ताका परिकार बनाउने तालिम </t>
  </si>
  <si>
    <t xml:space="preserve"> लागु पदार्थ न्यूनीकरण जनचेतना कार्यक्रम</t>
  </si>
  <si>
    <t xml:space="preserve"> सरुवा रोग सम्बन्धि जनचेतना कार्यक्रम </t>
  </si>
  <si>
    <t xml:space="preserve">शिवशंकर नि.मा.वि.मा खानेपानी </t>
  </si>
  <si>
    <t>नदि किनारमा वृक्षारोपण कार्यक्रम</t>
  </si>
  <si>
    <t xml:space="preserve">सरस्वती नि.मा.वी. को बाटोमा नाली निर्माण </t>
  </si>
  <si>
    <t xml:space="preserve">भन्सार मसान टोल सडक निर्माण </t>
  </si>
  <si>
    <t xml:space="preserve">मोहना  नदी नियन्त्रण का लागि स्पर निर्माण  </t>
  </si>
  <si>
    <t xml:space="preserve">सामुदायिक भवन निर्माण सी गाउँ </t>
  </si>
  <si>
    <t xml:space="preserve">मोहना  नदी नियन्त्रण का लागि खेदामा स्पर निर्माण  </t>
  </si>
  <si>
    <t xml:space="preserve">कपाल काट्ने तालिम </t>
  </si>
  <si>
    <t xml:space="preserve">बिधुत वायारिंग तालिम </t>
  </si>
  <si>
    <t xml:space="preserve">नोट : कन्टेन्जेंसी रकम समेत यसैमा समाबेस गरिएको छ </t>
  </si>
  <si>
    <t>धनगढी उप-महानगरपालिकाको   आर्थिक बर्ष  २०७३ /०७४   मा  सिमा क्षेत्र विकास कार्यक्रम अन्तर्गत सन्चालन हुने योजना तथा कार्यक्रमहरु  :</t>
  </si>
  <si>
    <t xml:space="preserve">धनगढी उप-महानगरपालिका वडा न. १५ राना महिलाहरुको नमुना महिला बचत तथा ऋण सहकारी संस्थाको भवन निर्माण </t>
  </si>
  <si>
    <t xml:space="preserve">धनगढी उप-महानगरपालिका वडा न. १६ आदिवासी जनजाती सिकल सेल एनिमिया सम्बन्धी जनचेतना कार्यक्रम </t>
  </si>
  <si>
    <t>२०७३ पौष २८ गते सम्पन्न  धनगढी उप-महानगरपालिकाको दोश्रो नगर परिषदबाट पारित गरी आर्थिक बर्ष  २०७४ / २०७५  मा  सडक बोर्ड नेपाल संगको सहकार्यमा सडक आवाधिक मर्मत तर्फ कार्यान्वयन गरिने आयोजनाहरु  :( सडक बोर्ड नेपालको ससर्त अनुदान ८४ लाख )</t>
  </si>
  <si>
    <t>धनगढी उप-महानगरपालिका वडा न. १ गीता मन्दिरमा  बृद्दा श्रम निर्माण र नगर  भित्रका जेष्ठ नागरिक सम्मान कार्यक्रमका ( १ लाख भवन निर्माण १ लाख  जेष्ठ नागरिक सम्मान कार्यक्रमका लागी )</t>
  </si>
  <si>
    <t xml:space="preserve">शुसासन तथा पारदर्शिता </t>
  </si>
  <si>
    <t xml:space="preserve">धनगढी उप-महानगरपालिकामा बाल हेल्प लाइन संचलन र बाल भेला सन्चालन  र बाल कोष स्थापना गर्ने काम </t>
  </si>
  <si>
    <t xml:space="preserve">भैपरी विकास योजना </t>
  </si>
  <si>
    <t>२०७३ पौष २८ गते सम्पन्न  धनगढी उप-महानगरपालिकाको दोश्रो नगर परिषदबाट पारित गरी आर्थिक बर्ष  २०७३ / २०७४ मा संसोधित बजेट बाट संचालन हुने आयोजनाहरु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</si>
</sst>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4000439]0"/>
    <numFmt numFmtId="165" formatCode="[$-4000439]0.00"/>
    <numFmt numFmtId="166" formatCode="[$-4000439]0.0"/>
    <numFmt numFmtId="167" formatCode="[$-4000439]0.000"/>
    <numFmt numFmtId="168" formatCode="_(* #,##0.0_);_(* \(#,##0.0\);_(* &quot;-&quot;??_);_(@_)"/>
  </numFmts>
  <fonts count="31" x14ac:knownFonts="1">
    <font>
      <sz val="11"/>
      <color theme="1"/>
      <name val="Calibri"/>
      <family val="2"/>
      <scheme val="minor"/>
    </font>
    <font>
      <sz val="14"/>
      <color theme="1"/>
      <name val="Mercantile"/>
      <family val="5"/>
    </font>
    <font>
      <b/>
      <sz val="12"/>
      <color theme="1"/>
      <name val="Mercantile"/>
      <family val="5"/>
    </font>
    <font>
      <sz val="11"/>
      <color theme="1"/>
      <name val="Mercantile"/>
      <family val="5"/>
    </font>
    <font>
      <b/>
      <sz val="14"/>
      <color theme="1"/>
      <name val="Mercantile"/>
      <family val="5"/>
    </font>
    <font>
      <b/>
      <sz val="11"/>
      <color theme="1"/>
      <name val="Mercantile"/>
      <family val="5"/>
    </font>
    <font>
      <sz val="12"/>
      <color theme="1"/>
      <name val="Mercantile"/>
      <family val="5"/>
    </font>
    <font>
      <sz val="18"/>
      <color theme="1"/>
      <name val="Mercantile"/>
      <family val="5"/>
    </font>
    <font>
      <sz val="18"/>
      <color theme="1"/>
      <name val="Kokila"/>
      <family val="2"/>
    </font>
    <font>
      <b/>
      <sz val="18"/>
      <name val="Kokila"/>
      <family val="2"/>
    </font>
    <font>
      <sz val="18"/>
      <name val="Kokila"/>
      <family val="2"/>
    </font>
    <font>
      <b/>
      <sz val="26"/>
      <color theme="1"/>
      <name val="Kokila"/>
      <family val="2"/>
    </font>
    <font>
      <b/>
      <sz val="28"/>
      <color theme="1"/>
      <name val="Kokila"/>
      <family val="2"/>
    </font>
    <font>
      <sz val="22"/>
      <color theme="1"/>
      <name val="Kokila"/>
      <family val="2"/>
    </font>
    <font>
      <b/>
      <sz val="18"/>
      <color theme="1"/>
      <name val="Kokila"/>
      <family val="2"/>
    </font>
    <font>
      <sz val="24"/>
      <color theme="1"/>
      <name val="Kokila"/>
      <family val="2"/>
    </font>
    <font>
      <sz val="26"/>
      <color theme="1"/>
      <name val="Kokila"/>
      <family val="2"/>
    </font>
    <font>
      <sz val="14"/>
      <name val="Kokila"/>
      <family val="2"/>
    </font>
    <font>
      <b/>
      <sz val="11"/>
      <color theme="1"/>
      <name val="Kokila"/>
      <family val="2"/>
    </font>
    <font>
      <sz val="14"/>
      <color theme="1"/>
      <name val="Kokila"/>
      <family val="2"/>
    </font>
    <font>
      <b/>
      <sz val="12"/>
      <color theme="1"/>
      <name val="Kokila"/>
      <family val="2"/>
    </font>
    <font>
      <sz val="12"/>
      <color theme="1"/>
      <name val="Kokila"/>
      <family val="2"/>
    </font>
    <font>
      <b/>
      <sz val="14"/>
      <color theme="1"/>
      <name val="Kokila"/>
      <family val="2"/>
    </font>
    <font>
      <sz val="11"/>
      <color theme="1"/>
      <name val="Kokila"/>
      <family val="2"/>
    </font>
    <font>
      <sz val="10"/>
      <name val="Kokila"/>
      <family val="2"/>
    </font>
    <font>
      <sz val="16"/>
      <name val="Kokila"/>
      <family val="2"/>
    </font>
    <font>
      <b/>
      <sz val="16"/>
      <name val="Kokila"/>
      <family val="2"/>
    </font>
    <font>
      <b/>
      <sz val="14"/>
      <name val="Kokila"/>
      <family val="2"/>
    </font>
    <font>
      <sz val="12"/>
      <name val="Kokila"/>
      <family val="2"/>
    </font>
    <font>
      <sz val="11"/>
      <color theme="1"/>
      <name val="Calibri"/>
      <family val="2"/>
      <scheme val="minor"/>
    </font>
    <font>
      <b/>
      <sz val="12"/>
      <name val="Kokil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9" fillId="0" borderId="0" applyFont="0" applyFill="0" applyBorder="0" applyAlignment="0" applyProtection="0"/>
  </cellStyleXfs>
  <cellXfs count="202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 applyAlignment="1"/>
    <xf numFmtId="2" fontId="3" fillId="0" borderId="0" xfId="0" applyNumberFormat="1" applyFont="1" applyFill="1" applyBorder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center"/>
    </xf>
    <xf numFmtId="167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wrapText="1"/>
    </xf>
    <xf numFmtId="167" fontId="10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horizontal="left" wrapText="1"/>
    </xf>
    <xf numFmtId="0" fontId="10" fillId="2" borderId="1" xfId="0" applyFont="1" applyFill="1" applyBorder="1" applyAlignment="1">
      <alignment horizontal="left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/>
    <xf numFmtId="0" fontId="8" fillId="0" borderId="0" xfId="0" applyFont="1" applyFill="1"/>
    <xf numFmtId="0" fontId="20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wrapText="1"/>
    </xf>
    <xf numFmtId="0" fontId="20" fillId="0" borderId="1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/>
    <xf numFmtId="2" fontId="23" fillId="0" borderId="0" xfId="0" applyNumberFormat="1" applyFont="1" applyFill="1" applyBorder="1" applyAlignment="1">
      <alignment horizontal="center"/>
    </xf>
    <xf numFmtId="2" fontId="23" fillId="0" borderId="0" xfId="0" applyNumberFormat="1" applyFont="1" applyFill="1" applyBorder="1" applyAlignment="1"/>
    <xf numFmtId="0" fontId="19" fillId="0" borderId="0" xfId="0" applyFont="1" applyFill="1" applyBorder="1"/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/>
    <xf numFmtId="0" fontId="22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/>
    </xf>
    <xf numFmtId="165" fontId="24" fillId="0" borderId="1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164" fontId="27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164" fontId="28" fillId="0" borderId="1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164" fontId="25" fillId="0" borderId="1" xfId="0" applyNumberFormat="1" applyFont="1" applyFill="1" applyBorder="1" applyAlignment="1">
      <alignment vertical="center" wrapText="1"/>
    </xf>
    <xf numFmtId="164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2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2" fontId="17" fillId="0" borderId="1" xfId="0" applyNumberFormat="1" applyFont="1" applyFill="1" applyBorder="1" applyAlignment="1">
      <alignment horizontal="center" vertical="center" wrapText="1"/>
    </xf>
    <xf numFmtId="43" fontId="25" fillId="0" borderId="1" xfId="1" applyFont="1" applyFill="1" applyBorder="1" applyAlignment="1"/>
    <xf numFmtId="164" fontId="17" fillId="0" borderId="1" xfId="0" applyNumberFormat="1" applyFont="1" applyFill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/>
    </xf>
    <xf numFmtId="165" fontId="25" fillId="0" borderId="1" xfId="0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wrapText="1"/>
    </xf>
    <xf numFmtId="164" fontId="17" fillId="0" borderId="5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164" fontId="17" fillId="0" borderId="5" xfId="0" applyNumberFormat="1" applyFont="1" applyBorder="1" applyAlignment="1">
      <alignment horizontal="center" vertical="center" wrapText="1"/>
    </xf>
    <xf numFmtId="164" fontId="17" fillId="0" borderId="5" xfId="0" applyNumberFormat="1" applyFont="1" applyFill="1" applyBorder="1" applyAlignment="1">
      <alignment horizontal="center"/>
    </xf>
    <xf numFmtId="2" fontId="17" fillId="0" borderId="5" xfId="0" applyNumberFormat="1" applyFont="1" applyFill="1" applyBorder="1" applyAlignment="1">
      <alignment horizontal="center" vertical="center" wrapText="1"/>
    </xf>
    <xf numFmtId="165" fontId="25" fillId="0" borderId="5" xfId="0" applyNumberFormat="1" applyFont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/>
    </xf>
    <xf numFmtId="164" fontId="17" fillId="0" borderId="6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17" fillId="0" borderId="6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168" fontId="27" fillId="0" borderId="1" xfId="1" applyNumberFormat="1" applyFont="1" applyFill="1" applyBorder="1" applyAlignment="1"/>
    <xf numFmtId="166" fontId="25" fillId="0" borderId="1" xfId="0" applyNumberFormat="1" applyFont="1" applyBorder="1" applyAlignment="1">
      <alignment horizontal="center" vertical="center" wrapText="1"/>
    </xf>
    <xf numFmtId="164" fontId="28" fillId="0" borderId="1" xfId="0" applyNumberFormat="1" applyFont="1" applyFill="1" applyBorder="1" applyAlignment="1">
      <alignment horizontal="center" vertical="center"/>
    </xf>
    <xf numFmtId="166" fontId="17" fillId="0" borderId="1" xfId="0" applyNumberFormat="1" applyFont="1" applyFill="1" applyBorder="1" applyAlignment="1">
      <alignment horizontal="center" vertical="center" wrapText="1"/>
    </xf>
    <xf numFmtId="166" fontId="17" fillId="0" borderId="5" xfId="0" applyNumberFormat="1" applyFont="1" applyFill="1" applyBorder="1" applyAlignment="1">
      <alignment horizontal="center" vertical="center" wrapText="1"/>
    </xf>
    <xf numFmtId="166" fontId="25" fillId="0" borderId="5" xfId="0" applyNumberFormat="1" applyFont="1" applyBorder="1" applyAlignment="1">
      <alignment horizontal="center" vertical="center" wrapText="1"/>
    </xf>
    <xf numFmtId="166" fontId="26" fillId="0" borderId="1" xfId="0" applyNumberFormat="1" applyFont="1" applyFill="1" applyBorder="1" applyAlignment="1">
      <alignment horizontal="center" vertical="center"/>
    </xf>
    <xf numFmtId="166" fontId="17" fillId="0" borderId="6" xfId="0" applyNumberFormat="1" applyFont="1" applyFill="1" applyBorder="1" applyAlignment="1">
      <alignment horizontal="center" vertical="center"/>
    </xf>
    <xf numFmtId="166" fontId="25" fillId="0" borderId="6" xfId="0" applyNumberFormat="1" applyFont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 wrapText="1"/>
    </xf>
    <xf numFmtId="165" fontId="27" fillId="0" borderId="1" xfId="1" applyNumberFormat="1" applyFont="1" applyFill="1" applyBorder="1" applyAlignment="1"/>
    <xf numFmtId="165" fontId="25" fillId="0" borderId="1" xfId="1" applyNumberFormat="1" applyFont="1" applyFill="1" applyBorder="1" applyAlignment="1"/>
    <xf numFmtId="165" fontId="26" fillId="0" borderId="1" xfId="0" applyNumberFormat="1" applyFont="1" applyFill="1" applyBorder="1" applyAlignment="1">
      <alignment horizontal="center" vertical="center"/>
    </xf>
    <xf numFmtId="165" fontId="25" fillId="0" borderId="6" xfId="0" applyNumberFormat="1" applyFont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/>
    <xf numFmtId="165" fontId="1" fillId="0" borderId="0" xfId="0" applyNumberFormat="1" applyFont="1" applyFill="1"/>
    <xf numFmtId="164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164" fontId="2" fillId="0" borderId="0" xfId="0" applyNumberFormat="1" applyFont="1" applyFill="1" applyAlignment="1">
      <alignment horizont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textRotation="90"/>
    </xf>
    <xf numFmtId="0" fontId="10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64" fontId="30" fillId="0" borderId="2" xfId="0" applyNumberFormat="1" applyFont="1" applyFill="1" applyBorder="1" applyAlignment="1">
      <alignment horizontal="center" vertical="center" wrapText="1"/>
    </xf>
    <xf numFmtId="164" fontId="30" fillId="0" borderId="3" xfId="0" applyNumberFormat="1" applyFont="1" applyFill="1" applyBorder="1" applyAlignment="1">
      <alignment horizontal="center" vertical="center" wrapText="1"/>
    </xf>
    <xf numFmtId="164" fontId="30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textRotation="90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view="pageBreakPreview" topLeftCell="A25" zoomScale="89" zoomScaleNormal="78" zoomScaleSheetLayoutView="89" workbookViewId="0">
      <selection activeCell="G37" sqref="G37"/>
    </sheetView>
  </sheetViews>
  <sheetFormatPr defaultColWidth="9.140625" defaultRowHeight="24" x14ac:dyDescent="0.5"/>
  <cols>
    <col min="1" max="1" width="12.5703125" style="10" customWidth="1"/>
    <col min="2" max="2" width="69.42578125" style="1" customWidth="1"/>
    <col min="3" max="3" width="29.5703125" style="1" customWidth="1"/>
    <col min="4" max="4" width="24.5703125" style="15" customWidth="1"/>
    <col min="5" max="16384" width="9.140625" style="1"/>
  </cols>
  <sheetData>
    <row r="1" spans="1:4" ht="52.5" customHeight="1" x14ac:dyDescent="0.5">
      <c r="A1" s="176" t="s">
        <v>13</v>
      </c>
      <c r="B1" s="176"/>
      <c r="C1" s="176"/>
      <c r="D1" s="176"/>
    </row>
    <row r="2" spans="1:4" s="18" customFormat="1" ht="23.25" customHeight="1" x14ac:dyDescent="0.65">
      <c r="A2" s="177" t="s">
        <v>11</v>
      </c>
      <c r="B2" s="177"/>
      <c r="C2" s="177"/>
      <c r="D2" s="177"/>
    </row>
    <row r="3" spans="1:4" ht="57.75" customHeight="1" x14ac:dyDescent="0.5">
      <c r="A3" s="178" t="s">
        <v>561</v>
      </c>
      <c r="B3" s="178"/>
      <c r="C3" s="178"/>
      <c r="D3" s="178"/>
    </row>
    <row r="4" spans="1:4" s="2" customFormat="1" ht="24.75" customHeight="1" x14ac:dyDescent="0.45">
      <c r="A4" s="179" t="s">
        <v>4</v>
      </c>
      <c r="B4" s="180" t="s">
        <v>5</v>
      </c>
      <c r="C4" s="181" t="s">
        <v>15</v>
      </c>
      <c r="D4" s="180" t="s">
        <v>1</v>
      </c>
    </row>
    <row r="5" spans="1:4" s="2" customFormat="1" ht="27" customHeight="1" x14ac:dyDescent="0.45">
      <c r="A5" s="179"/>
      <c r="B5" s="180"/>
      <c r="C5" s="182"/>
      <c r="D5" s="180"/>
    </row>
    <row r="6" spans="1:4" s="17" customFormat="1" ht="24" customHeight="1" x14ac:dyDescent="0.45">
      <c r="A6" s="21">
        <v>1</v>
      </c>
      <c r="B6" s="21">
        <v>2</v>
      </c>
      <c r="C6" s="21">
        <v>3</v>
      </c>
      <c r="D6" s="21">
        <v>4</v>
      </c>
    </row>
    <row r="7" spans="1:4" s="14" customFormat="1" ht="41.25" customHeight="1" x14ac:dyDescent="0.45">
      <c r="A7" s="104">
        <v>1</v>
      </c>
      <c r="B7" s="124" t="s">
        <v>562</v>
      </c>
      <c r="C7" s="22">
        <f>6000000/1000</f>
        <v>6000</v>
      </c>
      <c r="D7" s="22"/>
    </row>
    <row r="8" spans="1:4" s="14" customFormat="1" ht="45.75" customHeight="1" x14ac:dyDescent="0.45">
      <c r="A8" s="125">
        <v>2</v>
      </c>
      <c r="B8" s="126" t="s">
        <v>541</v>
      </c>
      <c r="C8" s="22">
        <f>2500000/1000</f>
        <v>2500</v>
      </c>
      <c r="D8" s="66"/>
    </row>
    <row r="9" spans="1:4" s="14" customFormat="1" ht="45.75" customHeight="1" x14ac:dyDescent="0.45">
      <c r="A9" s="125">
        <v>3</v>
      </c>
      <c r="B9" s="126" t="s">
        <v>542</v>
      </c>
      <c r="C9" s="22">
        <f>1000000/1000</f>
        <v>1000</v>
      </c>
      <c r="D9" s="66"/>
    </row>
    <row r="10" spans="1:4" s="14" customFormat="1" ht="34.5" customHeight="1" x14ac:dyDescent="0.45">
      <c r="A10" s="125">
        <v>4</v>
      </c>
      <c r="B10" s="126" t="s">
        <v>563</v>
      </c>
      <c r="C10" s="22">
        <f>1600000/1000</f>
        <v>1600</v>
      </c>
      <c r="D10" s="66"/>
    </row>
    <row r="11" spans="1:4" s="14" customFormat="1" ht="41.25" customHeight="1" x14ac:dyDescent="0.45">
      <c r="A11" s="104">
        <v>5</v>
      </c>
      <c r="B11" s="126" t="s">
        <v>543</v>
      </c>
      <c r="C11" s="22">
        <f>2300000/1000</f>
        <v>2300</v>
      </c>
      <c r="D11" s="99"/>
    </row>
    <row r="12" spans="1:4" s="14" customFormat="1" ht="34.5" customHeight="1" x14ac:dyDescent="0.45">
      <c r="A12" s="125">
        <v>6</v>
      </c>
      <c r="B12" s="126" t="s">
        <v>544</v>
      </c>
      <c r="C12" s="22">
        <f>1000000/1000</f>
        <v>1000</v>
      </c>
      <c r="D12" s="107"/>
    </row>
    <row r="13" spans="1:4" s="14" customFormat="1" ht="38.25" customHeight="1" x14ac:dyDescent="0.45">
      <c r="A13" s="125">
        <v>7</v>
      </c>
      <c r="B13" s="124" t="s">
        <v>545</v>
      </c>
      <c r="C13" s="22">
        <f>(500000+410000+1200000+300000+200000+200000+100000)/1000</f>
        <v>2910</v>
      </c>
      <c r="D13" s="66"/>
    </row>
    <row r="14" spans="1:4" s="14" customFormat="1" ht="34.5" customHeight="1" x14ac:dyDescent="0.45">
      <c r="A14" s="125">
        <v>8</v>
      </c>
      <c r="B14" s="124" t="s">
        <v>546</v>
      </c>
      <c r="C14" s="22">
        <f>600000/1000</f>
        <v>600</v>
      </c>
      <c r="D14" s="108"/>
    </row>
    <row r="15" spans="1:4" s="14" customFormat="1" ht="42.75" customHeight="1" x14ac:dyDescent="0.45">
      <c r="A15" s="104">
        <v>9</v>
      </c>
      <c r="B15" s="126" t="s">
        <v>626</v>
      </c>
      <c r="C15" s="21">
        <f>2000000/1000</f>
        <v>2000</v>
      </c>
      <c r="D15" s="108"/>
    </row>
    <row r="16" spans="1:4" s="14" customFormat="1" ht="36.75" customHeight="1" x14ac:dyDescent="0.45">
      <c r="A16" s="125">
        <v>10</v>
      </c>
      <c r="B16" s="126" t="s">
        <v>547</v>
      </c>
      <c r="C16" s="21">
        <f>100000/1000</f>
        <v>100</v>
      </c>
      <c r="D16" s="108"/>
    </row>
    <row r="17" spans="1:8" s="14" customFormat="1" ht="35.25" customHeight="1" x14ac:dyDescent="0.45">
      <c r="A17" s="125">
        <v>11</v>
      </c>
      <c r="B17" s="126" t="s">
        <v>548</v>
      </c>
      <c r="C17" s="21">
        <f>150000/1000</f>
        <v>150</v>
      </c>
      <c r="D17" s="108"/>
    </row>
    <row r="18" spans="1:8" s="14" customFormat="1" ht="32.25" customHeight="1" x14ac:dyDescent="0.45">
      <c r="A18" s="125">
        <v>12</v>
      </c>
      <c r="B18" s="126" t="s">
        <v>549</v>
      </c>
      <c r="C18" s="21">
        <f>100000/1000</f>
        <v>100</v>
      </c>
      <c r="D18" s="108"/>
    </row>
    <row r="19" spans="1:8" s="14" customFormat="1" ht="32.25" customHeight="1" x14ac:dyDescent="0.45">
      <c r="A19" s="104">
        <v>13</v>
      </c>
      <c r="B19" s="126" t="s">
        <v>550</v>
      </c>
      <c r="C19" s="21">
        <f>200000/1000</f>
        <v>200</v>
      </c>
      <c r="D19" s="108"/>
    </row>
    <row r="20" spans="1:8" s="14" customFormat="1" ht="45" customHeight="1" x14ac:dyDescent="0.45">
      <c r="A20" s="125">
        <v>14</v>
      </c>
      <c r="B20" s="126" t="s">
        <v>551</v>
      </c>
      <c r="C20" s="21">
        <f>3300000/1000</f>
        <v>3300</v>
      </c>
      <c r="D20" s="108"/>
    </row>
    <row r="21" spans="1:8" s="14" customFormat="1" ht="39" customHeight="1" x14ac:dyDescent="0.45">
      <c r="A21" s="125">
        <v>15</v>
      </c>
      <c r="B21" s="126" t="s">
        <v>552</v>
      </c>
      <c r="C21" s="21">
        <f>1500000/1000</f>
        <v>1500</v>
      </c>
      <c r="D21" s="108"/>
    </row>
    <row r="22" spans="1:8" s="14" customFormat="1" ht="41.25" customHeight="1" x14ac:dyDescent="0.45">
      <c r="A22" s="125">
        <v>16</v>
      </c>
      <c r="B22" s="126" t="s">
        <v>553</v>
      </c>
      <c r="C22" s="21">
        <f>2000000/1000</f>
        <v>2000</v>
      </c>
      <c r="D22" s="108"/>
    </row>
    <row r="23" spans="1:8" s="14" customFormat="1" ht="37.5" customHeight="1" x14ac:dyDescent="0.45">
      <c r="A23" s="104">
        <v>17</v>
      </c>
      <c r="B23" s="126" t="s">
        <v>554</v>
      </c>
      <c r="C23" s="21">
        <f>800000/1000</f>
        <v>800</v>
      </c>
      <c r="D23" s="173"/>
    </row>
    <row r="24" spans="1:8" s="14" customFormat="1" ht="33.75" customHeight="1" x14ac:dyDescent="0.45">
      <c r="A24" s="125">
        <v>18</v>
      </c>
      <c r="B24" s="126" t="s">
        <v>555</v>
      </c>
      <c r="C24" s="21">
        <f>500000/1000</f>
        <v>500</v>
      </c>
      <c r="D24" s="173"/>
    </row>
    <row r="25" spans="1:8" s="14" customFormat="1" ht="35.25" customHeight="1" x14ac:dyDescent="0.45">
      <c r="A25" s="125">
        <v>19</v>
      </c>
      <c r="B25" s="126" t="s">
        <v>556</v>
      </c>
      <c r="C25" s="21">
        <f>1500000/1000</f>
        <v>1500</v>
      </c>
      <c r="D25" s="30"/>
    </row>
    <row r="26" spans="1:8" s="14" customFormat="1" ht="33" customHeight="1" x14ac:dyDescent="0.45">
      <c r="A26" s="125">
        <v>20</v>
      </c>
      <c r="B26" s="126" t="s">
        <v>557</v>
      </c>
      <c r="C26" s="21">
        <f>100000/1000</f>
        <v>100</v>
      </c>
      <c r="D26" s="173"/>
    </row>
    <row r="27" spans="1:8" s="14" customFormat="1" ht="39" customHeight="1" x14ac:dyDescent="0.45">
      <c r="A27" s="104">
        <v>21</v>
      </c>
      <c r="B27" s="126" t="s">
        <v>564</v>
      </c>
      <c r="C27" s="21">
        <f>2080000/1000</f>
        <v>2080</v>
      </c>
      <c r="D27" s="173"/>
    </row>
    <row r="28" spans="1:8" s="14" customFormat="1" ht="37.5" customHeight="1" x14ac:dyDescent="0.45">
      <c r="A28" s="125">
        <v>22</v>
      </c>
      <c r="B28" s="126" t="s">
        <v>565</v>
      </c>
      <c r="C28" s="21">
        <f>15000000/1000</f>
        <v>15000</v>
      </c>
      <c r="D28" s="173"/>
    </row>
    <row r="29" spans="1:8" s="14" customFormat="1" ht="33.75" customHeight="1" x14ac:dyDescent="0.45">
      <c r="A29" s="125">
        <v>23</v>
      </c>
      <c r="B29" s="126" t="s">
        <v>566</v>
      </c>
      <c r="C29" s="21">
        <f>5000000/1000</f>
        <v>5000</v>
      </c>
      <c r="D29" s="173"/>
    </row>
    <row r="30" spans="1:8" s="14" customFormat="1" ht="39.75" customHeight="1" x14ac:dyDescent="0.45">
      <c r="A30" s="125">
        <v>24</v>
      </c>
      <c r="B30" s="126" t="s">
        <v>558</v>
      </c>
      <c r="C30" s="21">
        <f>1000000/1000</f>
        <v>1000</v>
      </c>
      <c r="D30" s="21">
        <f>D31+C34</f>
        <v>299104</v>
      </c>
    </row>
    <row r="31" spans="1:8" s="14" customFormat="1" ht="37.5" customHeight="1" x14ac:dyDescent="0.45">
      <c r="A31" s="125">
        <v>25</v>
      </c>
      <c r="B31" s="126" t="s">
        <v>559</v>
      </c>
      <c r="C31" s="21">
        <f>8158000/1000</f>
        <v>8158</v>
      </c>
      <c r="D31" s="21">
        <f>10315+6877+10315+34623+12289+33000+45000+12100+48712+9775</f>
        <v>223006</v>
      </c>
    </row>
    <row r="32" spans="1:8" s="14" customFormat="1" ht="33" customHeight="1" x14ac:dyDescent="0.45">
      <c r="A32" s="125">
        <v>26</v>
      </c>
      <c r="B32" s="126" t="s">
        <v>560</v>
      </c>
      <c r="C32" s="21">
        <f>14700000/1000</f>
        <v>14700</v>
      </c>
      <c r="D32" s="173"/>
      <c r="F32" s="174"/>
      <c r="G32" s="174"/>
      <c r="H32" s="174"/>
    </row>
    <row r="33" spans="1:4" s="14" customFormat="1" ht="33" customHeight="1" x14ac:dyDescent="0.45">
      <c r="A33" s="125">
        <v>27</v>
      </c>
      <c r="B33" s="126" t="s">
        <v>624</v>
      </c>
      <c r="C33" s="21">
        <f>100000/1000</f>
        <v>100</v>
      </c>
      <c r="D33" s="30"/>
    </row>
    <row r="34" spans="1:4" s="2" customFormat="1" ht="30.75" customHeight="1" x14ac:dyDescent="0.45">
      <c r="A34" s="175" t="s">
        <v>14</v>
      </c>
      <c r="B34" s="175"/>
      <c r="C34" s="171">
        <f>SUM(C7:C32)</f>
        <v>76098</v>
      </c>
      <c r="D34" s="172"/>
    </row>
    <row r="35" spans="1:4" x14ac:dyDescent="0.5">
      <c r="A35" s="11"/>
      <c r="C35" s="12"/>
      <c r="D35" s="12"/>
    </row>
    <row r="36" spans="1:4" s="6" customFormat="1" x14ac:dyDescent="0.5">
      <c r="A36" s="11"/>
      <c r="C36" s="5"/>
      <c r="D36" s="3"/>
    </row>
  </sheetData>
  <mergeCells count="8">
    <mergeCell ref="A34:B34"/>
    <mergeCell ref="A1:D1"/>
    <mergeCell ref="A2:D2"/>
    <mergeCell ref="A3:D3"/>
    <mergeCell ref="A4:A5"/>
    <mergeCell ref="B4:B5"/>
    <mergeCell ref="C4:C5"/>
    <mergeCell ref="D4:D5"/>
  </mergeCells>
  <pageMargins left="0.25" right="0.25" top="0.75" bottom="0.52" header="0.3" footer="0.3"/>
  <pageSetup paperSize="9" scale="70" orientation="portrait" r:id="rId1"/>
  <headerFooter>
    <oddFooter xml:space="preserve">&amp;C &amp;R                    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view="pageBreakPreview" topLeftCell="A66" zoomScale="93" zoomScaleNormal="78" zoomScaleSheetLayoutView="93" workbookViewId="0">
      <selection activeCell="C75" sqref="C75"/>
    </sheetView>
  </sheetViews>
  <sheetFormatPr defaultColWidth="9.140625" defaultRowHeight="24" x14ac:dyDescent="0.5"/>
  <cols>
    <col min="1" max="1" width="6" style="10" customWidth="1"/>
    <col min="2" max="2" width="56.5703125" style="1" customWidth="1"/>
    <col min="3" max="3" width="6.140625" style="1" customWidth="1"/>
    <col min="4" max="4" width="7.42578125" style="7" customWidth="1"/>
    <col min="5" max="5" width="10.42578125" style="1" customWidth="1"/>
    <col min="6" max="6" width="10.28515625" style="1" customWidth="1"/>
    <col min="7" max="7" width="8.28515625" style="1" customWidth="1"/>
    <col min="8" max="8" width="6.7109375" style="1" customWidth="1"/>
    <col min="9" max="9" width="9.42578125" style="1" customWidth="1"/>
    <col min="10" max="10" width="8.28515625" style="1" customWidth="1"/>
    <col min="11" max="11" width="10.85546875" style="15" customWidth="1"/>
    <col min="12" max="16384" width="9.140625" style="1"/>
  </cols>
  <sheetData>
    <row r="1" spans="1:11" ht="39" customHeight="1" x14ac:dyDescent="0.5">
      <c r="A1" s="199" t="s">
        <v>13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1" ht="28.5" customHeight="1" x14ac:dyDescent="0.5">
      <c r="A2" s="188" t="s">
        <v>11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</row>
    <row r="3" spans="1:11" ht="50.25" customHeight="1" x14ac:dyDescent="0.5">
      <c r="A3" s="178" t="s">
        <v>458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</row>
    <row r="4" spans="1:11" s="2" customFormat="1" ht="25.5" customHeight="1" x14ac:dyDescent="0.45">
      <c r="A4" s="193" t="s">
        <v>4</v>
      </c>
      <c r="B4" s="180" t="s">
        <v>5</v>
      </c>
      <c r="C4" s="179" t="s">
        <v>12</v>
      </c>
      <c r="D4" s="179" t="s">
        <v>0</v>
      </c>
      <c r="E4" s="180" t="s">
        <v>6</v>
      </c>
      <c r="F4" s="180"/>
      <c r="G4" s="180" t="s">
        <v>3</v>
      </c>
      <c r="H4" s="180"/>
      <c r="I4" s="180"/>
      <c r="J4" s="180"/>
      <c r="K4" s="179" t="s">
        <v>1</v>
      </c>
    </row>
    <row r="5" spans="1:11" s="2" customFormat="1" ht="17.25" customHeight="1" x14ac:dyDescent="0.45">
      <c r="A5" s="193"/>
      <c r="B5" s="180"/>
      <c r="C5" s="179"/>
      <c r="D5" s="179"/>
      <c r="E5" s="180" t="s">
        <v>7</v>
      </c>
      <c r="F5" s="186" t="s">
        <v>15</v>
      </c>
      <c r="G5" s="180" t="s">
        <v>8</v>
      </c>
      <c r="H5" s="180"/>
      <c r="I5" s="180" t="s">
        <v>2</v>
      </c>
      <c r="J5" s="180"/>
      <c r="K5" s="179"/>
    </row>
    <row r="6" spans="1:11" s="16" customFormat="1" ht="41.25" customHeight="1" x14ac:dyDescent="0.45">
      <c r="A6" s="193"/>
      <c r="B6" s="180"/>
      <c r="C6" s="179"/>
      <c r="D6" s="179"/>
      <c r="E6" s="180"/>
      <c r="F6" s="186"/>
      <c r="G6" s="19" t="s">
        <v>9</v>
      </c>
      <c r="H6" s="19" t="s">
        <v>10</v>
      </c>
      <c r="I6" s="19" t="s">
        <v>9</v>
      </c>
      <c r="J6" s="19" t="s">
        <v>10</v>
      </c>
      <c r="K6" s="179"/>
    </row>
    <row r="7" spans="1:11" s="2" customFormat="1" ht="22.5" customHeight="1" x14ac:dyDescent="0.45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1">
        <v>10</v>
      </c>
      <c r="K7" s="21">
        <v>11</v>
      </c>
    </row>
    <row r="8" spans="1:11" s="2" customFormat="1" ht="24.75" customHeight="1" x14ac:dyDescent="0.45">
      <c r="A8" s="198" t="s">
        <v>23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</row>
    <row r="9" spans="1:11" s="2" customFormat="1" ht="75" customHeight="1" x14ac:dyDescent="0.45">
      <c r="A9" s="21">
        <v>1</v>
      </c>
      <c r="B9" s="24" t="s">
        <v>69</v>
      </c>
      <c r="C9" s="21">
        <v>1</v>
      </c>
      <c r="D9" s="34" t="s">
        <v>46</v>
      </c>
      <c r="E9" s="33">
        <f>295/1000</f>
        <v>0.29499999999999998</v>
      </c>
      <c r="F9" s="21">
        <f>1200000/1000</f>
        <v>1200</v>
      </c>
      <c r="G9" s="21"/>
      <c r="H9" s="21"/>
      <c r="I9" s="21"/>
      <c r="J9" s="21"/>
      <c r="K9" s="31"/>
    </row>
    <row r="10" spans="1:11" s="2" customFormat="1" ht="73.5" customHeight="1" x14ac:dyDescent="0.45">
      <c r="A10" s="21">
        <v>2</v>
      </c>
      <c r="B10" s="24" t="s">
        <v>66</v>
      </c>
      <c r="C10" s="21">
        <v>1</v>
      </c>
      <c r="D10" s="34" t="s">
        <v>46</v>
      </c>
      <c r="E10" s="33">
        <f>295/1000</f>
        <v>0.29499999999999998</v>
      </c>
      <c r="F10" s="21">
        <f>1200000/1000</f>
        <v>1200</v>
      </c>
      <c r="G10" s="21"/>
      <c r="H10" s="21"/>
      <c r="I10" s="21"/>
      <c r="J10" s="21"/>
      <c r="K10" s="31"/>
    </row>
    <row r="11" spans="1:11" s="2" customFormat="1" ht="58.5" customHeight="1" x14ac:dyDescent="0.45">
      <c r="A11" s="21">
        <v>3</v>
      </c>
      <c r="B11" s="24" t="s">
        <v>65</v>
      </c>
      <c r="C11" s="21">
        <v>1</v>
      </c>
      <c r="D11" s="34" t="s">
        <v>46</v>
      </c>
      <c r="E11" s="33">
        <f t="shared" ref="E11" si="0">295/1000</f>
        <v>0.29499999999999998</v>
      </c>
      <c r="F11" s="21">
        <v>0</v>
      </c>
      <c r="G11" s="21"/>
      <c r="H11" s="21"/>
      <c r="I11" s="21"/>
      <c r="J11" s="21"/>
      <c r="K11" s="107" t="s">
        <v>466</v>
      </c>
    </row>
    <row r="12" spans="1:11" s="2" customFormat="1" ht="56.25" customHeight="1" x14ac:dyDescent="0.45">
      <c r="A12" s="21">
        <v>4</v>
      </c>
      <c r="B12" s="24" t="s">
        <v>249</v>
      </c>
      <c r="C12" s="21">
        <v>2</v>
      </c>
      <c r="D12" s="34" t="s">
        <v>46</v>
      </c>
      <c r="E12" s="33">
        <f t="shared" ref="E12:E14" si="1">205/1000</f>
        <v>0.20499999999999999</v>
      </c>
      <c r="F12" s="21">
        <f>700000/1000</f>
        <v>700</v>
      </c>
      <c r="G12" s="21"/>
      <c r="H12" s="21"/>
      <c r="I12" s="21"/>
      <c r="J12" s="21"/>
      <c r="K12" s="31"/>
    </row>
    <row r="13" spans="1:11" s="2" customFormat="1" ht="51.75" customHeight="1" x14ac:dyDescent="0.45">
      <c r="A13" s="21">
        <v>5</v>
      </c>
      <c r="B13" s="24" t="s">
        <v>477</v>
      </c>
      <c r="C13" s="21">
        <v>2</v>
      </c>
      <c r="D13" s="34" t="s">
        <v>46</v>
      </c>
      <c r="E13" s="33">
        <f t="shared" si="1"/>
        <v>0.20499999999999999</v>
      </c>
      <c r="F13" s="21">
        <f>700000/1000</f>
        <v>700</v>
      </c>
      <c r="G13" s="21"/>
      <c r="H13" s="21"/>
      <c r="I13" s="21"/>
      <c r="J13" s="21"/>
      <c r="K13" s="31"/>
    </row>
    <row r="14" spans="1:11" s="2" customFormat="1" ht="45.75" customHeight="1" x14ac:dyDescent="0.45">
      <c r="A14" s="21">
        <v>6</v>
      </c>
      <c r="B14" s="25" t="s">
        <v>250</v>
      </c>
      <c r="C14" s="22">
        <v>2</v>
      </c>
      <c r="D14" s="34" t="s">
        <v>46</v>
      </c>
      <c r="E14" s="33">
        <f t="shared" si="1"/>
        <v>0.20499999999999999</v>
      </c>
      <c r="F14" s="21">
        <f>700000/1000</f>
        <v>700</v>
      </c>
      <c r="G14" s="22"/>
      <c r="H14" s="22"/>
      <c r="I14" s="22"/>
      <c r="J14" s="22"/>
      <c r="K14" s="22"/>
    </row>
    <row r="15" spans="1:11" s="2" customFormat="1" ht="76.5" customHeight="1" x14ac:dyDescent="0.45">
      <c r="A15" s="21">
        <v>7</v>
      </c>
      <c r="B15" s="24" t="s">
        <v>251</v>
      </c>
      <c r="C15" s="21">
        <v>3</v>
      </c>
      <c r="D15" s="34" t="s">
        <v>46</v>
      </c>
      <c r="E15" s="33">
        <f>300/1000</f>
        <v>0.3</v>
      </c>
      <c r="F15" s="21">
        <f>1000000/1000</f>
        <v>1000</v>
      </c>
      <c r="G15" s="21"/>
      <c r="H15" s="21"/>
      <c r="I15" s="21"/>
      <c r="J15" s="21"/>
      <c r="K15" s="31"/>
    </row>
    <row r="16" spans="1:11" s="2" customFormat="1" ht="76.5" customHeight="1" x14ac:dyDescent="0.45">
      <c r="A16" s="21">
        <v>8</v>
      </c>
      <c r="B16" s="102" t="s">
        <v>465</v>
      </c>
      <c r="C16" s="21">
        <v>3</v>
      </c>
      <c r="D16" s="100" t="s">
        <v>46</v>
      </c>
      <c r="E16" s="33">
        <f>300/1000</f>
        <v>0.3</v>
      </c>
      <c r="F16" s="21">
        <f>800000/1000</f>
        <v>800</v>
      </c>
      <c r="G16" s="21"/>
      <c r="H16" s="21"/>
      <c r="I16" s="21"/>
      <c r="J16" s="21"/>
      <c r="K16" s="101"/>
    </row>
    <row r="17" spans="1:11" s="2" customFormat="1" ht="50.25" customHeight="1" x14ac:dyDescent="0.45">
      <c r="A17" s="21">
        <v>9</v>
      </c>
      <c r="B17" s="24" t="s">
        <v>450</v>
      </c>
      <c r="C17" s="21">
        <v>4</v>
      </c>
      <c r="D17" s="52" t="s">
        <v>46</v>
      </c>
      <c r="E17" s="33">
        <f>205/1000</f>
        <v>0.20499999999999999</v>
      </c>
      <c r="F17" s="21">
        <f>700000/1000</f>
        <v>700</v>
      </c>
      <c r="G17" s="21"/>
      <c r="H17" s="21"/>
      <c r="I17" s="21"/>
      <c r="J17" s="21"/>
      <c r="K17" s="31"/>
    </row>
    <row r="18" spans="1:11" s="2" customFormat="1" ht="50.25" customHeight="1" x14ac:dyDescent="0.45">
      <c r="A18" s="21">
        <v>10</v>
      </c>
      <c r="B18" s="24" t="s">
        <v>451</v>
      </c>
      <c r="C18" s="21">
        <v>4</v>
      </c>
      <c r="D18" s="52" t="s">
        <v>46</v>
      </c>
      <c r="E18" s="33">
        <f t="shared" ref="E18:E21" si="2">205/1000</f>
        <v>0.20499999999999999</v>
      </c>
      <c r="F18" s="21">
        <f>700000/1000</f>
        <v>700</v>
      </c>
      <c r="G18" s="21"/>
      <c r="H18" s="21"/>
      <c r="I18" s="21"/>
      <c r="J18" s="21"/>
      <c r="K18" s="31"/>
    </row>
    <row r="19" spans="1:11" s="2" customFormat="1" ht="53.25" customHeight="1" x14ac:dyDescent="0.45">
      <c r="A19" s="21">
        <v>11</v>
      </c>
      <c r="B19" s="24" t="s">
        <v>253</v>
      </c>
      <c r="C19" s="21">
        <v>4</v>
      </c>
      <c r="D19" s="52" t="s">
        <v>46</v>
      </c>
      <c r="E19" s="33">
        <f t="shared" si="2"/>
        <v>0.20499999999999999</v>
      </c>
      <c r="F19" s="21">
        <f>700000/1000</f>
        <v>700</v>
      </c>
      <c r="G19" s="21"/>
      <c r="H19" s="21"/>
      <c r="I19" s="21"/>
      <c r="J19" s="21"/>
      <c r="K19" s="31"/>
    </row>
    <row r="20" spans="1:11" s="2" customFormat="1" ht="62.25" customHeight="1" x14ac:dyDescent="0.45">
      <c r="A20" s="21">
        <v>12</v>
      </c>
      <c r="B20" s="24" t="s">
        <v>254</v>
      </c>
      <c r="C20" s="21">
        <v>5</v>
      </c>
      <c r="D20" s="34" t="s">
        <v>46</v>
      </c>
      <c r="E20" s="33">
        <f>205/1000</f>
        <v>0.20499999999999999</v>
      </c>
      <c r="F20" s="21">
        <f>700000/1000</f>
        <v>700</v>
      </c>
      <c r="G20" s="21"/>
      <c r="H20" s="21"/>
      <c r="I20" s="21"/>
      <c r="J20" s="21"/>
      <c r="K20" s="31"/>
    </row>
    <row r="21" spans="1:11" s="2" customFormat="1" ht="45.75" customHeight="1" x14ac:dyDescent="0.45">
      <c r="A21" s="21">
        <v>13</v>
      </c>
      <c r="B21" s="24" t="s">
        <v>255</v>
      </c>
      <c r="C21" s="21">
        <v>5</v>
      </c>
      <c r="D21" s="34" t="s">
        <v>46</v>
      </c>
      <c r="E21" s="33">
        <f t="shared" si="2"/>
        <v>0.20499999999999999</v>
      </c>
      <c r="F21" s="21">
        <f>700000/1000</f>
        <v>700</v>
      </c>
      <c r="G21" s="21"/>
      <c r="H21" s="21"/>
      <c r="I21" s="21"/>
      <c r="J21" s="21"/>
      <c r="K21" s="31"/>
    </row>
    <row r="22" spans="1:11" s="2" customFormat="1" ht="51.75" customHeight="1" x14ac:dyDescent="0.45">
      <c r="A22" s="21">
        <v>14</v>
      </c>
      <c r="B22" s="25" t="s">
        <v>476</v>
      </c>
      <c r="C22" s="22">
        <v>5</v>
      </c>
      <c r="D22" s="34" t="s">
        <v>46</v>
      </c>
      <c r="E22" s="33">
        <f>205/1000</f>
        <v>0.20499999999999999</v>
      </c>
      <c r="F22" s="21">
        <f>(850000-26600)/1000</f>
        <v>823.4</v>
      </c>
      <c r="G22" s="22"/>
      <c r="H22" s="22"/>
      <c r="I22" s="22"/>
      <c r="J22" s="22"/>
      <c r="K22" s="22"/>
    </row>
    <row r="23" spans="1:11" s="2" customFormat="1" ht="55.5" customHeight="1" x14ac:dyDescent="0.45">
      <c r="A23" s="21">
        <v>15</v>
      </c>
      <c r="B23" s="24" t="s">
        <v>259</v>
      </c>
      <c r="C23" s="21">
        <v>6</v>
      </c>
      <c r="D23" s="34" t="s">
        <v>46</v>
      </c>
      <c r="E23" s="33">
        <f>295/1000</f>
        <v>0.29499999999999998</v>
      </c>
      <c r="F23" s="21">
        <f>900000/1000</f>
        <v>900</v>
      </c>
      <c r="G23" s="21"/>
      <c r="H23" s="21"/>
      <c r="I23" s="21"/>
      <c r="J23" s="21"/>
      <c r="K23" s="31"/>
    </row>
    <row r="24" spans="1:11" s="2" customFormat="1" ht="45.75" customHeight="1" x14ac:dyDescent="0.45">
      <c r="A24" s="21">
        <v>16</v>
      </c>
      <c r="B24" s="24" t="s">
        <v>260</v>
      </c>
      <c r="C24" s="21">
        <v>6</v>
      </c>
      <c r="D24" s="34" t="s">
        <v>46</v>
      </c>
      <c r="E24" s="33">
        <f>295/1000</f>
        <v>0.29499999999999998</v>
      </c>
      <c r="F24" s="21">
        <f>900000/1000</f>
        <v>900</v>
      </c>
      <c r="G24" s="21"/>
      <c r="H24" s="21"/>
      <c r="I24" s="21"/>
      <c r="J24" s="21"/>
      <c r="K24" s="31"/>
    </row>
    <row r="25" spans="1:11" s="2" customFormat="1" ht="71.25" customHeight="1" x14ac:dyDescent="0.45">
      <c r="A25" s="21">
        <v>17</v>
      </c>
      <c r="B25" s="24" t="s">
        <v>261</v>
      </c>
      <c r="C25" s="21">
        <v>7</v>
      </c>
      <c r="D25" s="34" t="s">
        <v>46</v>
      </c>
      <c r="E25" s="33">
        <f>205/1000</f>
        <v>0.20499999999999999</v>
      </c>
      <c r="F25" s="21">
        <f>700000/1000</f>
        <v>700</v>
      </c>
      <c r="G25" s="21">
        <v>217</v>
      </c>
      <c r="H25" s="21">
        <v>154</v>
      </c>
      <c r="I25" s="21">
        <v>32</v>
      </c>
      <c r="J25" s="21">
        <v>341</v>
      </c>
      <c r="K25" s="31"/>
    </row>
    <row r="26" spans="1:11" s="2" customFormat="1" ht="63" customHeight="1" x14ac:dyDescent="0.45">
      <c r="A26" s="21">
        <v>18</v>
      </c>
      <c r="B26" s="24" t="s">
        <v>475</v>
      </c>
      <c r="C26" s="21">
        <v>7</v>
      </c>
      <c r="D26" s="34" t="s">
        <v>46</v>
      </c>
      <c r="E26" s="33">
        <f>205/1000</f>
        <v>0.20499999999999999</v>
      </c>
      <c r="F26" s="21">
        <f>700000/1000</f>
        <v>700</v>
      </c>
      <c r="G26" s="21">
        <v>291</v>
      </c>
      <c r="H26" s="21">
        <v>327</v>
      </c>
      <c r="I26" s="21">
        <v>61</v>
      </c>
      <c r="J26" s="21">
        <v>79</v>
      </c>
      <c r="K26" s="108"/>
    </row>
    <row r="27" spans="1:11" s="2" customFormat="1" ht="51.75" customHeight="1" x14ac:dyDescent="0.45">
      <c r="A27" s="21">
        <v>19</v>
      </c>
      <c r="B27" s="24" t="s">
        <v>263</v>
      </c>
      <c r="C27" s="21">
        <v>8</v>
      </c>
      <c r="D27" s="34" t="s">
        <v>46</v>
      </c>
      <c r="E27" s="33">
        <f t="shared" ref="E27:E28" si="3">205/1000</f>
        <v>0.20499999999999999</v>
      </c>
      <c r="F27" s="21">
        <f>700000/1000</f>
        <v>700</v>
      </c>
      <c r="G27" s="21"/>
      <c r="H27" s="21"/>
      <c r="I27" s="21"/>
      <c r="J27" s="21"/>
      <c r="K27" s="31"/>
    </row>
    <row r="28" spans="1:11" s="2" customFormat="1" ht="54" customHeight="1" x14ac:dyDescent="0.45">
      <c r="A28" s="21">
        <v>20</v>
      </c>
      <c r="B28" s="24" t="s">
        <v>264</v>
      </c>
      <c r="C28" s="21">
        <v>8</v>
      </c>
      <c r="D28" s="34" t="s">
        <v>46</v>
      </c>
      <c r="E28" s="33">
        <f t="shared" si="3"/>
        <v>0.20499999999999999</v>
      </c>
      <c r="F28" s="21">
        <f>700000/1000</f>
        <v>700</v>
      </c>
      <c r="G28" s="21"/>
      <c r="H28" s="21"/>
      <c r="I28" s="21"/>
      <c r="J28" s="21"/>
      <c r="K28" s="31"/>
    </row>
    <row r="29" spans="1:11" s="2" customFormat="1" ht="49.5" customHeight="1" x14ac:dyDescent="0.45">
      <c r="A29" s="21">
        <v>21</v>
      </c>
      <c r="B29" s="24" t="s">
        <v>468</v>
      </c>
      <c r="C29" s="22">
        <v>8</v>
      </c>
      <c r="D29" s="34" t="s">
        <v>46</v>
      </c>
      <c r="E29" s="33">
        <f>205/1000</f>
        <v>0.20499999999999999</v>
      </c>
      <c r="F29" s="21">
        <f>700000/1000</f>
        <v>700</v>
      </c>
      <c r="G29" s="22"/>
      <c r="H29" s="22"/>
      <c r="I29" s="22"/>
      <c r="J29" s="22"/>
      <c r="K29" s="22"/>
    </row>
    <row r="30" spans="1:11" s="2" customFormat="1" ht="56.25" customHeight="1" x14ac:dyDescent="0.45">
      <c r="A30" s="21">
        <v>22</v>
      </c>
      <c r="B30" s="24" t="s">
        <v>268</v>
      </c>
      <c r="C30" s="21">
        <v>9</v>
      </c>
      <c r="D30" s="34" t="s">
        <v>46</v>
      </c>
      <c r="E30" s="33">
        <f>500/1000</f>
        <v>0.5</v>
      </c>
      <c r="F30" s="21">
        <f>1000000/1000</f>
        <v>1000</v>
      </c>
      <c r="G30" s="21"/>
      <c r="H30" s="21"/>
      <c r="I30" s="21"/>
      <c r="J30" s="21"/>
      <c r="K30" s="31"/>
    </row>
    <row r="31" spans="1:11" s="2" customFormat="1" ht="56.25" customHeight="1" x14ac:dyDescent="0.45">
      <c r="A31" s="21">
        <v>23</v>
      </c>
      <c r="B31" s="57" t="s">
        <v>409</v>
      </c>
      <c r="C31" s="21">
        <v>9</v>
      </c>
      <c r="D31" s="55" t="s">
        <v>46</v>
      </c>
      <c r="E31" s="33">
        <f>295/1000</f>
        <v>0.29499999999999998</v>
      </c>
      <c r="F31" s="21">
        <f t="shared" ref="F31:F36" si="4">700000/1000</f>
        <v>700</v>
      </c>
      <c r="G31" s="21"/>
      <c r="H31" s="21"/>
      <c r="I31" s="21"/>
      <c r="J31" s="21"/>
      <c r="K31" s="56"/>
    </row>
    <row r="32" spans="1:11" s="2" customFormat="1" ht="51.75" customHeight="1" x14ac:dyDescent="0.45">
      <c r="A32" s="21">
        <v>24</v>
      </c>
      <c r="B32" s="24" t="s">
        <v>269</v>
      </c>
      <c r="C32" s="21">
        <v>10</v>
      </c>
      <c r="D32" s="34" t="s">
        <v>46</v>
      </c>
      <c r="E32" s="33">
        <f>205/1000</f>
        <v>0.20499999999999999</v>
      </c>
      <c r="F32" s="21">
        <f t="shared" si="4"/>
        <v>700</v>
      </c>
      <c r="G32" s="21"/>
      <c r="H32" s="21"/>
      <c r="I32" s="21"/>
      <c r="J32" s="21"/>
      <c r="K32" s="31"/>
    </row>
    <row r="33" spans="1:11" s="2" customFormat="1" ht="45.75" customHeight="1" x14ac:dyDescent="0.45">
      <c r="A33" s="21">
        <v>25</v>
      </c>
      <c r="B33" s="24" t="s">
        <v>270</v>
      </c>
      <c r="C33" s="21">
        <v>10</v>
      </c>
      <c r="D33" s="34" t="s">
        <v>46</v>
      </c>
      <c r="E33" s="33">
        <f t="shared" ref="E33:E35" si="5">205/1000</f>
        <v>0.20499999999999999</v>
      </c>
      <c r="F33" s="21">
        <f t="shared" si="4"/>
        <v>700</v>
      </c>
      <c r="G33" s="21"/>
      <c r="H33" s="21"/>
      <c r="I33" s="21"/>
      <c r="J33" s="21"/>
      <c r="K33" s="31"/>
    </row>
    <row r="34" spans="1:11" s="2" customFormat="1" ht="78" customHeight="1" x14ac:dyDescent="0.45">
      <c r="A34" s="21">
        <v>26</v>
      </c>
      <c r="B34" s="24" t="s">
        <v>474</v>
      </c>
      <c r="C34" s="21">
        <v>11</v>
      </c>
      <c r="D34" s="34" t="s">
        <v>47</v>
      </c>
      <c r="E34" s="33">
        <f t="shared" si="5"/>
        <v>0.20499999999999999</v>
      </c>
      <c r="F34" s="21">
        <f t="shared" si="4"/>
        <v>700</v>
      </c>
      <c r="G34" s="21"/>
      <c r="H34" s="21"/>
      <c r="I34" s="21"/>
      <c r="J34" s="21"/>
      <c r="K34" s="31"/>
    </row>
    <row r="35" spans="1:11" s="2" customFormat="1" ht="75" customHeight="1" x14ac:dyDescent="0.45">
      <c r="A35" s="21">
        <v>27</v>
      </c>
      <c r="B35" s="24" t="s">
        <v>272</v>
      </c>
      <c r="C35" s="21">
        <v>12</v>
      </c>
      <c r="D35" s="34" t="s">
        <v>46</v>
      </c>
      <c r="E35" s="33">
        <f t="shared" si="5"/>
        <v>0.20499999999999999</v>
      </c>
      <c r="F35" s="21">
        <f t="shared" si="4"/>
        <v>700</v>
      </c>
      <c r="G35" s="21"/>
      <c r="H35" s="21"/>
      <c r="I35" s="21"/>
      <c r="J35" s="21"/>
      <c r="K35" s="31"/>
    </row>
    <row r="36" spans="1:11" s="2" customFormat="1" ht="60.75" customHeight="1" x14ac:dyDescent="0.45">
      <c r="A36" s="21">
        <v>28</v>
      </c>
      <c r="B36" s="24" t="s">
        <v>273</v>
      </c>
      <c r="C36" s="21">
        <v>12</v>
      </c>
      <c r="D36" s="34" t="s">
        <v>46</v>
      </c>
      <c r="E36" s="33">
        <f>205/1000</f>
        <v>0.20499999999999999</v>
      </c>
      <c r="F36" s="21">
        <f t="shared" si="4"/>
        <v>700</v>
      </c>
      <c r="G36" s="21"/>
      <c r="H36" s="21"/>
      <c r="I36" s="21"/>
      <c r="J36" s="21"/>
      <c r="K36" s="31"/>
    </row>
    <row r="37" spans="1:11" s="2" customFormat="1" ht="56.25" customHeight="1" x14ac:dyDescent="0.45">
      <c r="A37" s="21">
        <v>29</v>
      </c>
      <c r="B37" s="24" t="s">
        <v>274</v>
      </c>
      <c r="C37" s="21">
        <v>13</v>
      </c>
      <c r="D37" s="34" t="s">
        <v>38</v>
      </c>
      <c r="E37" s="33">
        <f>295/1000</f>
        <v>0.29499999999999998</v>
      </c>
      <c r="F37" s="21">
        <f>1000000/1000</f>
        <v>1000</v>
      </c>
      <c r="G37" s="21"/>
      <c r="H37" s="21"/>
      <c r="I37" s="21"/>
      <c r="J37" s="21"/>
      <c r="K37" s="31"/>
    </row>
    <row r="38" spans="1:11" s="2" customFormat="1" ht="81.75" customHeight="1" x14ac:dyDescent="0.45">
      <c r="A38" s="21">
        <v>30</v>
      </c>
      <c r="B38" s="24" t="s">
        <v>275</v>
      </c>
      <c r="C38" s="21">
        <v>13</v>
      </c>
      <c r="D38" s="34" t="s">
        <v>38</v>
      </c>
      <c r="E38" s="33">
        <f>205/1000</f>
        <v>0.20499999999999999</v>
      </c>
      <c r="F38" s="21">
        <f>700000/1000</f>
        <v>700</v>
      </c>
      <c r="G38" s="21"/>
      <c r="H38" s="21"/>
      <c r="I38" s="21"/>
      <c r="J38" s="21"/>
      <c r="K38" s="31"/>
    </row>
    <row r="39" spans="1:11" s="2" customFormat="1" ht="53.25" customHeight="1" x14ac:dyDescent="0.45">
      <c r="A39" s="21">
        <v>31</v>
      </c>
      <c r="B39" s="24" t="s">
        <v>276</v>
      </c>
      <c r="C39" s="21">
        <v>13</v>
      </c>
      <c r="D39" s="34" t="s">
        <v>38</v>
      </c>
      <c r="E39" s="33">
        <f t="shared" ref="E39:E40" si="6">205/1000</f>
        <v>0.20499999999999999</v>
      </c>
      <c r="F39" s="21">
        <f>700000/1000</f>
        <v>700</v>
      </c>
      <c r="G39" s="21"/>
      <c r="H39" s="21"/>
      <c r="I39" s="21"/>
      <c r="J39" s="21"/>
      <c r="K39" s="31"/>
    </row>
    <row r="40" spans="1:11" s="2" customFormat="1" ht="76.5" customHeight="1" x14ac:dyDescent="0.45">
      <c r="A40" s="21">
        <v>32</v>
      </c>
      <c r="B40" s="24" t="s">
        <v>277</v>
      </c>
      <c r="C40" s="21">
        <v>14</v>
      </c>
      <c r="D40" s="34" t="s">
        <v>46</v>
      </c>
      <c r="E40" s="33">
        <f t="shared" si="6"/>
        <v>0.20499999999999999</v>
      </c>
      <c r="F40" s="21">
        <f>700000/1000</f>
        <v>700</v>
      </c>
      <c r="G40" s="21"/>
      <c r="H40" s="21"/>
      <c r="I40" s="21"/>
      <c r="J40" s="21"/>
      <c r="K40" s="31"/>
    </row>
    <row r="41" spans="1:11" s="2" customFormat="1" ht="56.25" customHeight="1" x14ac:dyDescent="0.45">
      <c r="A41" s="21">
        <v>33</v>
      </c>
      <c r="B41" s="24" t="s">
        <v>278</v>
      </c>
      <c r="C41" s="21">
        <v>14</v>
      </c>
      <c r="D41" s="34" t="s">
        <v>46</v>
      </c>
      <c r="E41" s="33">
        <f>205/1000</f>
        <v>0.20499999999999999</v>
      </c>
      <c r="F41" s="21">
        <f>700000/1000</f>
        <v>700</v>
      </c>
      <c r="G41" s="21"/>
      <c r="H41" s="21"/>
      <c r="I41" s="21"/>
      <c r="J41" s="21"/>
      <c r="K41" s="31"/>
    </row>
    <row r="42" spans="1:11" s="2" customFormat="1" ht="50.25" customHeight="1" x14ac:dyDescent="0.45">
      <c r="A42" s="21">
        <v>34</v>
      </c>
      <c r="B42" s="25" t="s">
        <v>279</v>
      </c>
      <c r="C42" s="21">
        <v>15</v>
      </c>
      <c r="D42" s="34" t="s">
        <v>47</v>
      </c>
      <c r="E42" s="33">
        <f>1700/1000</f>
        <v>1.7</v>
      </c>
      <c r="F42" s="22">
        <f>700000/1000</f>
        <v>700</v>
      </c>
      <c r="G42" s="21"/>
      <c r="H42" s="21"/>
      <c r="I42" s="21"/>
      <c r="J42" s="21"/>
      <c r="K42" s="31"/>
    </row>
    <row r="43" spans="1:11" s="2" customFormat="1" ht="22.5" customHeight="1" x14ac:dyDescent="0.45">
      <c r="A43" s="196" t="s">
        <v>17</v>
      </c>
      <c r="B43" s="196"/>
      <c r="C43" s="196"/>
      <c r="D43" s="196"/>
      <c r="E43" s="196"/>
      <c r="F43" s="27"/>
      <c r="G43" s="27"/>
      <c r="H43" s="27"/>
      <c r="I43" s="27"/>
      <c r="J43" s="27"/>
      <c r="K43" s="27"/>
    </row>
    <row r="44" spans="1:11" s="2" customFormat="1" ht="24" customHeight="1" x14ac:dyDescent="0.45">
      <c r="A44" s="194" t="s">
        <v>24</v>
      </c>
      <c r="B44" s="195"/>
      <c r="C44" s="195"/>
      <c r="D44" s="195"/>
      <c r="E44" s="197"/>
      <c r="F44" s="88"/>
      <c r="G44" s="88"/>
      <c r="H44" s="88"/>
      <c r="I44" s="88"/>
      <c r="J44" s="88"/>
      <c r="K44" s="88"/>
    </row>
    <row r="45" spans="1:11" s="2" customFormat="1" ht="51" customHeight="1" x14ac:dyDescent="0.45">
      <c r="A45" s="21">
        <v>1</v>
      </c>
      <c r="B45" s="63" t="s">
        <v>417</v>
      </c>
      <c r="C45" s="22">
        <v>16</v>
      </c>
      <c r="D45" s="22" t="s">
        <v>32</v>
      </c>
      <c r="E45" s="22">
        <v>1</v>
      </c>
      <c r="F45" s="22">
        <f>1000000/1000</f>
        <v>1000</v>
      </c>
      <c r="G45" s="22"/>
      <c r="H45" s="22"/>
      <c r="I45" s="22"/>
      <c r="J45" s="22"/>
      <c r="K45" s="22"/>
    </row>
    <row r="46" spans="1:11" s="2" customFormat="1" ht="51" customHeight="1" x14ac:dyDescent="0.45">
      <c r="A46" s="21">
        <v>2</v>
      </c>
      <c r="B46" s="24" t="s">
        <v>280</v>
      </c>
      <c r="C46" s="22">
        <v>17</v>
      </c>
      <c r="D46" s="22" t="s">
        <v>47</v>
      </c>
      <c r="E46" s="29">
        <f>165/1000</f>
        <v>0.16500000000000001</v>
      </c>
      <c r="F46" s="21">
        <f>700000/1000</f>
        <v>700</v>
      </c>
      <c r="G46" s="22"/>
      <c r="H46" s="22"/>
      <c r="I46" s="22"/>
      <c r="J46" s="22"/>
      <c r="K46" s="22"/>
    </row>
    <row r="47" spans="1:11" s="2" customFormat="1" ht="51" customHeight="1" x14ac:dyDescent="0.45">
      <c r="A47" s="21">
        <v>3</v>
      </c>
      <c r="B47" s="24" t="s">
        <v>281</v>
      </c>
      <c r="C47" s="22">
        <v>18</v>
      </c>
      <c r="D47" s="22" t="s">
        <v>47</v>
      </c>
      <c r="E47" s="29">
        <f>165/1000</f>
        <v>0.16500000000000001</v>
      </c>
      <c r="F47" s="21">
        <f>700000/1000</f>
        <v>700</v>
      </c>
      <c r="G47" s="22"/>
      <c r="H47" s="22"/>
      <c r="I47" s="22"/>
      <c r="J47" s="22"/>
      <c r="K47" s="22"/>
    </row>
    <row r="48" spans="1:11" s="2" customFormat="1" ht="27" customHeight="1" x14ac:dyDescent="0.45">
      <c r="A48" s="175" t="s">
        <v>14</v>
      </c>
      <c r="B48" s="175"/>
      <c r="C48" s="175"/>
      <c r="D48" s="175"/>
      <c r="E48" s="175"/>
      <c r="F48" s="20"/>
      <c r="G48" s="27"/>
      <c r="H48" s="27"/>
      <c r="I48" s="27"/>
      <c r="J48" s="27"/>
      <c r="K48" s="27"/>
    </row>
    <row r="49" spans="1:11" s="2" customFormat="1" ht="27.75" customHeight="1" x14ac:dyDescent="0.45">
      <c r="A49" s="194" t="s">
        <v>25</v>
      </c>
      <c r="B49" s="195"/>
      <c r="C49" s="195"/>
      <c r="D49" s="195"/>
      <c r="E49" s="197"/>
      <c r="F49" s="88"/>
      <c r="G49" s="88"/>
      <c r="H49" s="88"/>
      <c r="I49" s="88"/>
      <c r="J49" s="88"/>
      <c r="K49" s="88"/>
    </row>
    <row r="50" spans="1:11" s="2" customFormat="1" ht="30.75" customHeight="1" x14ac:dyDescent="0.45">
      <c r="A50" s="21"/>
      <c r="B50" s="24"/>
      <c r="C50" s="22"/>
      <c r="D50" s="22"/>
      <c r="E50" s="22"/>
      <c r="F50" s="21"/>
      <c r="G50" s="22"/>
      <c r="H50" s="22"/>
      <c r="I50" s="22"/>
      <c r="J50" s="22"/>
      <c r="K50" s="22"/>
    </row>
    <row r="51" spans="1:11" s="2" customFormat="1" ht="30.75" customHeight="1" x14ac:dyDescent="0.45">
      <c r="A51" s="175" t="s">
        <v>14</v>
      </c>
      <c r="B51" s="175"/>
      <c r="C51" s="175"/>
      <c r="D51" s="175"/>
      <c r="E51" s="175"/>
      <c r="F51" s="20"/>
      <c r="G51" s="27"/>
      <c r="H51" s="27"/>
      <c r="I51" s="27"/>
      <c r="J51" s="27"/>
      <c r="K51" s="27"/>
    </row>
    <row r="52" spans="1:11" s="2" customFormat="1" ht="30.75" customHeight="1" x14ac:dyDescent="0.45">
      <c r="A52" s="194" t="s">
        <v>26</v>
      </c>
      <c r="B52" s="195"/>
      <c r="C52" s="195"/>
      <c r="D52" s="195"/>
      <c r="E52" s="197"/>
      <c r="F52" s="88"/>
      <c r="G52" s="88"/>
      <c r="H52" s="88"/>
      <c r="I52" s="88"/>
      <c r="J52" s="88"/>
      <c r="K52" s="88"/>
    </row>
    <row r="53" spans="1:11" s="2" customFormat="1" ht="54.75" customHeight="1" x14ac:dyDescent="0.45">
      <c r="A53" s="21">
        <v>1</v>
      </c>
      <c r="B53" s="24" t="s">
        <v>473</v>
      </c>
      <c r="C53" s="22">
        <v>1</v>
      </c>
      <c r="D53" s="22" t="s">
        <v>47</v>
      </c>
      <c r="E53" s="39">
        <f t="shared" ref="E53" si="7">180/1000</f>
        <v>0.18</v>
      </c>
      <c r="F53" s="21">
        <f>700000/1000</f>
        <v>700</v>
      </c>
      <c r="G53" s="22"/>
      <c r="H53" s="22"/>
      <c r="I53" s="22"/>
      <c r="J53" s="22"/>
      <c r="K53" s="22"/>
    </row>
    <row r="54" spans="1:11" s="2" customFormat="1" ht="24.75" customHeight="1" x14ac:dyDescent="0.45">
      <c r="A54" s="175" t="s">
        <v>14</v>
      </c>
      <c r="B54" s="175"/>
      <c r="C54" s="175"/>
      <c r="D54" s="175"/>
      <c r="E54" s="175"/>
      <c r="F54" s="20"/>
      <c r="G54" s="27"/>
      <c r="H54" s="27"/>
      <c r="I54" s="27"/>
      <c r="J54" s="27"/>
      <c r="K54" s="27"/>
    </row>
    <row r="55" spans="1:11" s="2" customFormat="1" ht="26.25" customHeight="1" x14ac:dyDescent="0.45">
      <c r="A55" s="194" t="s">
        <v>27</v>
      </c>
      <c r="B55" s="195"/>
      <c r="C55" s="195"/>
      <c r="D55" s="195"/>
      <c r="E55" s="197"/>
      <c r="F55" s="88"/>
      <c r="G55" s="88"/>
      <c r="H55" s="88"/>
      <c r="I55" s="88"/>
      <c r="J55" s="88"/>
      <c r="K55" s="88"/>
    </row>
    <row r="56" spans="1:11" s="2" customFormat="1" ht="52.5" customHeight="1" x14ac:dyDescent="0.45">
      <c r="A56" s="21">
        <v>1</v>
      </c>
      <c r="B56" s="24" t="s">
        <v>266</v>
      </c>
      <c r="C56" s="22">
        <v>8</v>
      </c>
      <c r="D56" s="22" t="s">
        <v>32</v>
      </c>
      <c r="E56" s="22">
        <v>1</v>
      </c>
      <c r="F56" s="21">
        <f>700000/1000</f>
        <v>700</v>
      </c>
      <c r="G56" s="22"/>
      <c r="H56" s="22"/>
      <c r="I56" s="22"/>
      <c r="J56" s="22"/>
      <c r="K56" s="22"/>
    </row>
    <row r="57" spans="1:11" s="2" customFormat="1" ht="52.5" customHeight="1" x14ac:dyDescent="0.45">
      <c r="A57" s="21">
        <v>2</v>
      </c>
      <c r="B57" s="25" t="s">
        <v>469</v>
      </c>
      <c r="C57" s="22">
        <v>17</v>
      </c>
      <c r="D57" s="22" t="s">
        <v>32</v>
      </c>
      <c r="E57" s="22">
        <v>1</v>
      </c>
      <c r="F57" s="21">
        <f>700000/1000</f>
        <v>700</v>
      </c>
      <c r="G57" s="22"/>
      <c r="H57" s="22"/>
      <c r="I57" s="22"/>
      <c r="J57" s="22"/>
      <c r="K57" s="31"/>
    </row>
    <row r="58" spans="1:11" s="2" customFormat="1" ht="30.75" customHeight="1" x14ac:dyDescent="0.45">
      <c r="A58" s="175" t="s">
        <v>14</v>
      </c>
      <c r="B58" s="175"/>
      <c r="C58" s="175"/>
      <c r="D58" s="175"/>
      <c r="E58" s="175"/>
      <c r="F58" s="20"/>
      <c r="G58" s="27"/>
      <c r="H58" s="27"/>
      <c r="I58" s="27"/>
      <c r="J58" s="27"/>
      <c r="K58" s="27"/>
    </row>
    <row r="59" spans="1:11" s="2" customFormat="1" ht="23.25" customHeight="1" x14ac:dyDescent="0.45">
      <c r="A59" s="194" t="s">
        <v>28</v>
      </c>
      <c r="B59" s="195"/>
      <c r="C59" s="195"/>
      <c r="D59" s="195"/>
      <c r="E59" s="197"/>
      <c r="F59" s="88"/>
      <c r="G59" s="88"/>
      <c r="H59" s="88"/>
      <c r="I59" s="88"/>
      <c r="J59" s="88"/>
      <c r="K59" s="88"/>
    </row>
    <row r="60" spans="1:11" s="2" customFormat="1" ht="30.75" customHeight="1" x14ac:dyDescent="0.55000000000000004">
      <c r="A60" s="21"/>
      <c r="B60" s="36"/>
      <c r="C60" s="36"/>
      <c r="D60" s="36"/>
      <c r="E60" s="36"/>
      <c r="F60" s="36"/>
      <c r="G60" s="22"/>
      <c r="H60" s="22"/>
      <c r="I60" s="22"/>
      <c r="J60" s="22"/>
      <c r="K60" s="22"/>
    </row>
    <row r="61" spans="1:11" s="2" customFormat="1" ht="30.75" customHeight="1" x14ac:dyDescent="0.45">
      <c r="A61" s="175" t="s">
        <v>14</v>
      </c>
      <c r="B61" s="175"/>
      <c r="C61" s="175"/>
      <c r="D61" s="175"/>
      <c r="E61" s="175"/>
      <c r="F61" s="20"/>
      <c r="G61" s="27"/>
      <c r="H61" s="27"/>
      <c r="I61" s="27"/>
      <c r="J61" s="27"/>
      <c r="K61" s="27"/>
    </row>
    <row r="62" spans="1:11" s="2" customFormat="1" ht="24" customHeight="1" x14ac:dyDescent="0.45">
      <c r="A62" s="194" t="s">
        <v>29</v>
      </c>
      <c r="B62" s="195"/>
      <c r="C62" s="195"/>
      <c r="D62" s="195"/>
      <c r="E62" s="197"/>
      <c r="F62" s="88"/>
      <c r="G62" s="88"/>
      <c r="H62" s="88"/>
      <c r="I62" s="88"/>
      <c r="J62" s="88"/>
      <c r="K62" s="88"/>
    </row>
    <row r="63" spans="1:11" s="2" customFormat="1" ht="30.75" customHeight="1" x14ac:dyDescent="0.45">
      <c r="A63" s="21"/>
      <c r="B63" s="53"/>
      <c r="C63" s="53"/>
      <c r="D63" s="53"/>
      <c r="E63" s="53"/>
      <c r="F63" s="53"/>
      <c r="G63" s="53"/>
      <c r="H63" s="53"/>
      <c r="I63" s="53"/>
      <c r="J63" s="53"/>
      <c r="K63" s="53"/>
    </row>
    <row r="64" spans="1:11" s="2" customFormat="1" ht="30.75" customHeight="1" x14ac:dyDescent="0.45">
      <c r="A64" s="175" t="s">
        <v>14</v>
      </c>
      <c r="B64" s="175"/>
      <c r="C64" s="175"/>
      <c r="D64" s="175"/>
      <c r="E64" s="175"/>
      <c r="F64" s="20"/>
      <c r="G64" s="27"/>
      <c r="H64" s="27"/>
      <c r="I64" s="27"/>
      <c r="J64" s="27"/>
      <c r="K64" s="27"/>
    </row>
    <row r="65" spans="1:11" s="2" customFormat="1" ht="30.75" customHeight="1" x14ac:dyDescent="0.45">
      <c r="A65" s="194" t="s">
        <v>30</v>
      </c>
      <c r="B65" s="195"/>
      <c r="C65" s="195"/>
      <c r="D65" s="195"/>
      <c r="E65" s="197"/>
      <c r="F65" s="88"/>
      <c r="G65" s="88"/>
      <c r="H65" s="88"/>
      <c r="I65" s="88"/>
      <c r="J65" s="88"/>
      <c r="K65" s="88"/>
    </row>
    <row r="66" spans="1:11" s="2" customFormat="1" ht="30.75" customHeight="1" x14ac:dyDescent="0.45">
      <c r="A66" s="21"/>
      <c r="B66" s="24"/>
      <c r="C66" s="22"/>
      <c r="D66" s="22"/>
      <c r="E66" s="22"/>
      <c r="F66" s="21"/>
      <c r="G66" s="22"/>
      <c r="H66" s="22"/>
      <c r="I66" s="22"/>
      <c r="J66" s="22"/>
      <c r="K66" s="22"/>
    </row>
    <row r="67" spans="1:11" s="2" customFormat="1" ht="30.75" customHeight="1" x14ac:dyDescent="0.45">
      <c r="A67" s="175" t="s">
        <v>14</v>
      </c>
      <c r="B67" s="175"/>
      <c r="C67" s="175"/>
      <c r="D67" s="175"/>
      <c r="E67" s="175"/>
      <c r="F67" s="20"/>
      <c r="G67" s="27"/>
      <c r="H67" s="27"/>
      <c r="I67" s="27"/>
      <c r="J67" s="27"/>
      <c r="K67" s="27"/>
    </row>
    <row r="68" spans="1:11" s="2" customFormat="1" ht="24" customHeight="1" x14ac:dyDescent="0.45">
      <c r="A68" s="194" t="s">
        <v>31</v>
      </c>
      <c r="B68" s="195"/>
      <c r="C68" s="195"/>
      <c r="D68" s="195"/>
      <c r="E68" s="197"/>
      <c r="F68" s="88"/>
      <c r="G68" s="88"/>
      <c r="H68" s="88"/>
      <c r="I68" s="88"/>
      <c r="J68" s="88"/>
      <c r="K68" s="88"/>
    </row>
    <row r="69" spans="1:11" s="2" customFormat="1" ht="47.25" customHeight="1" x14ac:dyDescent="0.45">
      <c r="A69" s="21">
        <v>1</v>
      </c>
      <c r="B69" s="24" t="s">
        <v>467</v>
      </c>
      <c r="C69" s="22">
        <v>7</v>
      </c>
      <c r="D69" s="22" t="s">
        <v>32</v>
      </c>
      <c r="E69" s="22">
        <v>1</v>
      </c>
      <c r="F69" s="21">
        <f>1000000/1000</f>
        <v>1000</v>
      </c>
      <c r="G69" s="22"/>
      <c r="H69" s="22"/>
      <c r="I69" s="22"/>
      <c r="J69" s="22"/>
      <c r="K69" s="22"/>
    </row>
    <row r="70" spans="1:11" s="2" customFormat="1" ht="51" customHeight="1" x14ac:dyDescent="0.45">
      <c r="A70" s="21">
        <v>2</v>
      </c>
      <c r="B70" s="25" t="s">
        <v>271</v>
      </c>
      <c r="C70" s="22">
        <v>11</v>
      </c>
      <c r="D70" s="22" t="s">
        <v>32</v>
      </c>
      <c r="E70" s="22">
        <v>1</v>
      </c>
      <c r="F70" s="21">
        <f>1500000/1000</f>
        <v>1500</v>
      </c>
      <c r="G70" s="22"/>
      <c r="H70" s="22"/>
      <c r="I70" s="22"/>
      <c r="J70" s="22"/>
      <c r="K70" s="22"/>
    </row>
    <row r="71" spans="1:11" s="2" customFormat="1" ht="54" customHeight="1" x14ac:dyDescent="0.55000000000000004">
      <c r="A71" s="21">
        <v>3</v>
      </c>
      <c r="B71" s="24" t="s">
        <v>452</v>
      </c>
      <c r="C71" s="21">
        <v>16</v>
      </c>
      <c r="D71" s="22" t="s">
        <v>32</v>
      </c>
      <c r="E71" s="22">
        <v>1</v>
      </c>
      <c r="F71" s="21">
        <f>1000000/1000</f>
        <v>1000</v>
      </c>
      <c r="G71" s="36"/>
      <c r="H71" s="36"/>
      <c r="I71" s="36"/>
      <c r="J71" s="36"/>
      <c r="K71" s="36"/>
    </row>
    <row r="72" spans="1:11" s="2" customFormat="1" ht="81" customHeight="1" x14ac:dyDescent="0.55000000000000004">
      <c r="A72" s="21">
        <v>4</v>
      </c>
      <c r="B72" s="24" t="s">
        <v>283</v>
      </c>
      <c r="C72" s="22">
        <v>20</v>
      </c>
      <c r="D72" s="22" t="s">
        <v>32</v>
      </c>
      <c r="E72" s="22">
        <v>1</v>
      </c>
      <c r="F72" s="21">
        <f>1000000/1000</f>
        <v>1000</v>
      </c>
      <c r="G72" s="36"/>
      <c r="H72" s="36"/>
      <c r="I72" s="36"/>
      <c r="J72" s="36"/>
      <c r="K72" s="54"/>
    </row>
    <row r="73" spans="1:11" s="2" customFormat="1" ht="30.75" customHeight="1" x14ac:dyDescent="0.45">
      <c r="A73" s="175" t="s">
        <v>14</v>
      </c>
      <c r="B73" s="175"/>
      <c r="C73" s="175"/>
      <c r="D73" s="175"/>
      <c r="E73" s="175"/>
      <c r="F73" s="20">
        <f>SUM(F9:F72)</f>
        <v>34623.4</v>
      </c>
      <c r="G73" s="27"/>
      <c r="H73" s="27"/>
      <c r="I73" s="103"/>
      <c r="J73" s="103"/>
      <c r="K73" s="103"/>
    </row>
    <row r="74" spans="1:11" x14ac:dyDescent="0.5">
      <c r="A74" s="11"/>
      <c r="D74" s="3"/>
      <c r="E74" s="8"/>
      <c r="F74" s="12"/>
      <c r="G74" s="9"/>
      <c r="H74" s="9"/>
      <c r="I74" s="9"/>
      <c r="J74" s="9"/>
      <c r="K74" s="12"/>
    </row>
    <row r="75" spans="1:11" s="6" customFormat="1" x14ac:dyDescent="0.5">
      <c r="A75" s="11"/>
      <c r="D75" s="4"/>
      <c r="E75" s="5"/>
      <c r="F75" s="5"/>
      <c r="G75" s="5"/>
      <c r="H75" s="5"/>
      <c r="I75" s="5"/>
      <c r="J75" s="5"/>
      <c r="K75" s="3"/>
    </row>
  </sheetData>
  <mergeCells count="32">
    <mergeCell ref="A1:K1"/>
    <mergeCell ref="A2:K2"/>
    <mergeCell ref="A3:K3"/>
    <mergeCell ref="A4:A6"/>
    <mergeCell ref="B4:B6"/>
    <mergeCell ref="C4:C6"/>
    <mergeCell ref="D4:D6"/>
    <mergeCell ref="E4:F4"/>
    <mergeCell ref="G4:J4"/>
    <mergeCell ref="K4:K6"/>
    <mergeCell ref="E5:E6"/>
    <mergeCell ref="F5:F6"/>
    <mergeCell ref="G5:H5"/>
    <mergeCell ref="I5:J5"/>
    <mergeCell ref="A8:K8"/>
    <mergeCell ref="A43:E43"/>
    <mergeCell ref="A48:E48"/>
    <mergeCell ref="A44:E44"/>
    <mergeCell ref="A49:E49"/>
    <mergeCell ref="A64:E64"/>
    <mergeCell ref="A51:E51"/>
    <mergeCell ref="A73:E73"/>
    <mergeCell ref="A54:E54"/>
    <mergeCell ref="A58:E58"/>
    <mergeCell ref="A67:E67"/>
    <mergeCell ref="A61:E61"/>
    <mergeCell ref="A52:E52"/>
    <mergeCell ref="A55:E55"/>
    <mergeCell ref="A59:E59"/>
    <mergeCell ref="A62:E62"/>
    <mergeCell ref="A68:E68"/>
    <mergeCell ref="A65:E65"/>
  </mergeCells>
  <pageMargins left="0.25" right="0.25" top="0.43" bottom="0.42" header="0.3" footer="0.23"/>
  <pageSetup paperSize="9" scale="70" orientation="portrait" r:id="rId1"/>
  <headerFooter>
    <oddFooter xml:space="preserve">&amp;C &amp;R                    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view="pageBreakPreview" topLeftCell="A76" zoomScale="93" zoomScaleNormal="78" zoomScaleSheetLayoutView="93" workbookViewId="0">
      <selection activeCell="B76" sqref="B76"/>
    </sheetView>
  </sheetViews>
  <sheetFormatPr defaultColWidth="9.140625" defaultRowHeight="24" x14ac:dyDescent="0.5"/>
  <cols>
    <col min="1" max="1" width="6" style="10" customWidth="1"/>
    <col min="2" max="2" width="64" style="1" customWidth="1"/>
    <col min="3" max="3" width="6.28515625" style="1" customWidth="1"/>
    <col min="4" max="4" width="7.5703125" style="7" customWidth="1"/>
    <col min="5" max="5" width="9.28515625" style="1" customWidth="1"/>
    <col min="6" max="6" width="10.28515625" style="1" customWidth="1"/>
    <col min="7" max="7" width="8.7109375" style="1" customWidth="1"/>
    <col min="8" max="8" width="6.42578125" style="1" customWidth="1"/>
    <col min="9" max="9" width="8" style="1" customWidth="1"/>
    <col min="10" max="10" width="6.42578125" style="1" customWidth="1"/>
    <col min="11" max="11" width="8.42578125" style="15" customWidth="1"/>
    <col min="12" max="16384" width="9.140625" style="1"/>
  </cols>
  <sheetData>
    <row r="1" spans="1:11" ht="52.5" customHeight="1" x14ac:dyDescent="0.5">
      <c r="A1" s="176" t="s">
        <v>13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ht="37.5" customHeight="1" x14ac:dyDescent="0.5">
      <c r="A2" s="188" t="s">
        <v>11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</row>
    <row r="3" spans="1:11" ht="48.75" customHeight="1" x14ac:dyDescent="0.5">
      <c r="A3" s="178" t="s">
        <v>459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</row>
    <row r="4" spans="1:11" s="2" customFormat="1" ht="26.25" customHeight="1" x14ac:dyDescent="0.45">
      <c r="A4" s="179" t="s">
        <v>4</v>
      </c>
      <c r="B4" s="180" t="s">
        <v>5</v>
      </c>
      <c r="C4" s="179" t="s">
        <v>12</v>
      </c>
      <c r="D4" s="179" t="s">
        <v>0</v>
      </c>
      <c r="E4" s="180" t="s">
        <v>6</v>
      </c>
      <c r="F4" s="180"/>
      <c r="G4" s="180" t="s">
        <v>3</v>
      </c>
      <c r="H4" s="180"/>
      <c r="I4" s="180"/>
      <c r="J4" s="180"/>
      <c r="K4" s="179" t="s">
        <v>1</v>
      </c>
    </row>
    <row r="5" spans="1:11" s="2" customFormat="1" ht="27" customHeight="1" x14ac:dyDescent="0.45">
      <c r="A5" s="179"/>
      <c r="B5" s="180"/>
      <c r="C5" s="179"/>
      <c r="D5" s="179"/>
      <c r="E5" s="180" t="s">
        <v>7</v>
      </c>
      <c r="F5" s="186" t="s">
        <v>15</v>
      </c>
      <c r="G5" s="180" t="s">
        <v>8</v>
      </c>
      <c r="H5" s="180"/>
      <c r="I5" s="180" t="s">
        <v>2</v>
      </c>
      <c r="J5" s="180"/>
      <c r="K5" s="179"/>
    </row>
    <row r="6" spans="1:11" s="16" customFormat="1" ht="44.25" customHeight="1" x14ac:dyDescent="0.45">
      <c r="A6" s="179"/>
      <c r="B6" s="180"/>
      <c r="C6" s="179"/>
      <c r="D6" s="179"/>
      <c r="E6" s="180"/>
      <c r="F6" s="186"/>
      <c r="G6" s="19" t="s">
        <v>9</v>
      </c>
      <c r="H6" s="19" t="s">
        <v>10</v>
      </c>
      <c r="I6" s="19" t="s">
        <v>9</v>
      </c>
      <c r="J6" s="19" t="s">
        <v>10</v>
      </c>
      <c r="K6" s="179"/>
    </row>
    <row r="7" spans="1:11" s="2" customFormat="1" ht="31.5" customHeight="1" x14ac:dyDescent="0.45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1">
        <v>10</v>
      </c>
      <c r="K7" s="21">
        <v>11</v>
      </c>
    </row>
    <row r="8" spans="1:11" s="2" customFormat="1" ht="32.25" customHeight="1" x14ac:dyDescent="0.45">
      <c r="A8" s="189" t="s">
        <v>19</v>
      </c>
      <c r="B8" s="190"/>
      <c r="C8" s="190"/>
      <c r="D8" s="190"/>
      <c r="E8" s="190"/>
      <c r="F8" s="190"/>
      <c r="G8" s="190"/>
      <c r="H8" s="190"/>
      <c r="I8" s="190"/>
      <c r="J8" s="190"/>
      <c r="K8" s="191"/>
    </row>
    <row r="9" spans="1:11" s="2" customFormat="1" ht="53.25" customHeight="1" x14ac:dyDescent="0.45">
      <c r="A9" s="22">
        <v>1</v>
      </c>
      <c r="B9" s="63" t="s">
        <v>403</v>
      </c>
      <c r="C9" s="22">
        <v>2</v>
      </c>
      <c r="D9" s="22" t="s">
        <v>16</v>
      </c>
      <c r="E9" s="22">
        <v>1</v>
      </c>
      <c r="F9" s="22">
        <f>240000/1000</f>
        <v>240</v>
      </c>
      <c r="G9" s="60"/>
      <c r="H9" s="60"/>
      <c r="I9" s="60"/>
      <c r="J9" s="60"/>
      <c r="K9" s="60"/>
    </row>
    <row r="10" spans="1:11" s="2" customFormat="1" ht="47.25" customHeight="1" x14ac:dyDescent="0.45">
      <c r="A10" s="22">
        <v>2</v>
      </c>
      <c r="B10" s="63" t="s">
        <v>203</v>
      </c>
      <c r="C10" s="21">
        <v>3</v>
      </c>
      <c r="D10" s="60" t="s">
        <v>32</v>
      </c>
      <c r="E10" s="21">
        <v>1</v>
      </c>
      <c r="F10" s="21">
        <f>160000/1000</f>
        <v>160</v>
      </c>
      <c r="G10" s="60"/>
      <c r="H10" s="60"/>
      <c r="I10" s="60"/>
      <c r="J10" s="60"/>
      <c r="K10" s="60"/>
    </row>
    <row r="11" spans="1:11" s="2" customFormat="1" ht="45" customHeight="1" x14ac:dyDescent="0.45">
      <c r="A11" s="22">
        <v>3</v>
      </c>
      <c r="B11" s="63" t="s">
        <v>206</v>
      </c>
      <c r="C11" s="22">
        <v>4</v>
      </c>
      <c r="D11" s="22" t="s">
        <v>32</v>
      </c>
      <c r="E11" s="22">
        <v>1</v>
      </c>
      <c r="F11" s="22">
        <f>500000/1000</f>
        <v>500</v>
      </c>
      <c r="G11" s="60"/>
      <c r="H11" s="60"/>
      <c r="I11" s="60"/>
      <c r="J11" s="60"/>
      <c r="K11" s="60"/>
    </row>
    <row r="12" spans="1:11" s="2" customFormat="1" ht="45.75" customHeight="1" x14ac:dyDescent="0.45">
      <c r="A12" s="22">
        <v>4</v>
      </c>
      <c r="B12" s="63" t="s">
        <v>404</v>
      </c>
      <c r="C12" s="22">
        <v>5</v>
      </c>
      <c r="D12" s="22" t="s">
        <v>16</v>
      </c>
      <c r="E12" s="22">
        <v>1</v>
      </c>
      <c r="F12" s="22">
        <f>200000/1000</f>
        <v>200</v>
      </c>
      <c r="G12" s="60"/>
      <c r="H12" s="60"/>
      <c r="I12" s="60"/>
      <c r="J12" s="60"/>
      <c r="K12" s="60"/>
    </row>
    <row r="13" spans="1:11" s="14" customFormat="1" ht="76.5" customHeight="1" x14ac:dyDescent="0.45">
      <c r="A13" s="22">
        <v>5</v>
      </c>
      <c r="B13" s="63" t="s">
        <v>207</v>
      </c>
      <c r="C13" s="22">
        <v>5</v>
      </c>
      <c r="D13" s="22" t="s">
        <v>16</v>
      </c>
      <c r="E13" s="22">
        <v>1</v>
      </c>
      <c r="F13" s="22">
        <f>150000/1000</f>
        <v>150</v>
      </c>
      <c r="G13" s="22"/>
      <c r="H13" s="22"/>
      <c r="I13" s="22"/>
      <c r="J13" s="22"/>
      <c r="K13" s="22"/>
    </row>
    <row r="14" spans="1:11" s="14" customFormat="1" ht="76.5" customHeight="1" x14ac:dyDescent="0.45">
      <c r="A14" s="22">
        <v>6</v>
      </c>
      <c r="B14" s="63" t="s">
        <v>408</v>
      </c>
      <c r="C14" s="21">
        <v>5</v>
      </c>
      <c r="D14" s="60" t="s">
        <v>46</v>
      </c>
      <c r="E14" s="33">
        <f>300/1000</f>
        <v>0.3</v>
      </c>
      <c r="F14" s="21">
        <f>700000/1000</f>
        <v>700</v>
      </c>
      <c r="G14" s="22"/>
      <c r="H14" s="22"/>
      <c r="I14" s="22"/>
      <c r="J14" s="22"/>
      <c r="K14" s="22"/>
    </row>
    <row r="15" spans="1:11" s="14" customFormat="1" ht="60" customHeight="1" x14ac:dyDescent="0.45">
      <c r="A15" s="22">
        <v>7</v>
      </c>
      <c r="B15" s="63" t="s">
        <v>210</v>
      </c>
      <c r="C15" s="21">
        <v>6</v>
      </c>
      <c r="D15" s="60" t="s">
        <v>32</v>
      </c>
      <c r="E15" s="21">
        <v>1</v>
      </c>
      <c r="F15" s="21">
        <f>150000/1000</f>
        <v>150</v>
      </c>
      <c r="G15" s="22"/>
      <c r="H15" s="22"/>
      <c r="I15" s="22"/>
      <c r="J15" s="22"/>
      <c r="K15" s="22"/>
    </row>
    <row r="16" spans="1:11" s="14" customFormat="1" ht="73.5" customHeight="1" x14ac:dyDescent="0.45">
      <c r="A16" s="22">
        <v>8</v>
      </c>
      <c r="B16" s="63" t="s">
        <v>211</v>
      </c>
      <c r="C16" s="21">
        <v>6</v>
      </c>
      <c r="D16" s="60" t="s">
        <v>32</v>
      </c>
      <c r="E16" s="21">
        <v>1</v>
      </c>
      <c r="F16" s="21">
        <f>150000/1000</f>
        <v>150</v>
      </c>
      <c r="G16" s="22"/>
      <c r="H16" s="22"/>
      <c r="I16" s="22"/>
      <c r="J16" s="22"/>
      <c r="K16" s="22"/>
    </row>
    <row r="17" spans="1:11" s="14" customFormat="1" ht="60" customHeight="1" x14ac:dyDescent="0.45">
      <c r="A17" s="22">
        <v>9</v>
      </c>
      <c r="B17" s="63" t="s">
        <v>213</v>
      </c>
      <c r="C17" s="21">
        <v>7</v>
      </c>
      <c r="D17" s="60"/>
      <c r="E17" s="21">
        <v>1</v>
      </c>
      <c r="F17" s="22">
        <f>200000/1000</f>
        <v>200</v>
      </c>
      <c r="G17" s="21">
        <v>239</v>
      </c>
      <c r="H17" s="21">
        <v>432</v>
      </c>
      <c r="I17" s="21">
        <v>21</v>
      </c>
      <c r="J17" s="21">
        <v>45</v>
      </c>
      <c r="K17" s="22"/>
    </row>
    <row r="18" spans="1:11" s="14" customFormat="1" ht="60" customHeight="1" x14ac:dyDescent="0.45">
      <c r="A18" s="22">
        <v>10</v>
      </c>
      <c r="B18" s="63" t="s">
        <v>214</v>
      </c>
      <c r="C18" s="38">
        <v>7</v>
      </c>
      <c r="D18" s="22" t="s">
        <v>16</v>
      </c>
      <c r="E18" s="22">
        <v>1</v>
      </c>
      <c r="F18" s="22">
        <f>100000/1000</f>
        <v>100</v>
      </c>
      <c r="G18" s="22">
        <v>23</v>
      </c>
      <c r="H18" s="22">
        <v>31</v>
      </c>
      <c r="I18" s="22"/>
      <c r="J18" s="22"/>
      <c r="K18" s="22"/>
    </row>
    <row r="19" spans="1:11" s="14" customFormat="1" ht="60" customHeight="1" x14ac:dyDescent="0.45">
      <c r="A19" s="22">
        <v>11</v>
      </c>
      <c r="B19" s="63" t="s">
        <v>405</v>
      </c>
      <c r="C19" s="38">
        <v>7</v>
      </c>
      <c r="D19" s="22" t="s">
        <v>16</v>
      </c>
      <c r="E19" s="22">
        <v>1</v>
      </c>
      <c r="F19" s="22">
        <f>150000/1000</f>
        <v>150</v>
      </c>
      <c r="G19" s="22">
        <v>97</v>
      </c>
      <c r="H19" s="22">
        <v>61</v>
      </c>
      <c r="I19" s="22">
        <v>67</v>
      </c>
      <c r="J19" s="22">
        <v>38</v>
      </c>
      <c r="K19" s="22"/>
    </row>
    <row r="20" spans="1:11" s="14" customFormat="1" ht="60" customHeight="1" x14ac:dyDescent="0.45">
      <c r="A20" s="22">
        <v>12</v>
      </c>
      <c r="B20" s="63" t="s">
        <v>216</v>
      </c>
      <c r="C20" s="22">
        <v>8</v>
      </c>
      <c r="D20" s="22" t="s">
        <v>16</v>
      </c>
      <c r="E20" s="22">
        <v>1</v>
      </c>
      <c r="F20" s="22">
        <f>100000/1000</f>
        <v>100</v>
      </c>
      <c r="G20" s="22"/>
      <c r="H20" s="22"/>
      <c r="I20" s="22"/>
      <c r="J20" s="22"/>
      <c r="K20" s="22"/>
    </row>
    <row r="21" spans="1:11" s="14" customFormat="1" ht="60" customHeight="1" x14ac:dyDescent="0.45">
      <c r="A21" s="22">
        <v>13</v>
      </c>
      <c r="B21" s="63" t="s">
        <v>217</v>
      </c>
      <c r="C21" s="22">
        <v>8</v>
      </c>
      <c r="D21" s="22" t="s">
        <v>16</v>
      </c>
      <c r="E21" s="22">
        <v>2</v>
      </c>
      <c r="F21" s="22">
        <f>100000/1000</f>
        <v>100</v>
      </c>
      <c r="G21" s="22"/>
      <c r="H21" s="22"/>
      <c r="I21" s="22"/>
      <c r="J21" s="22"/>
      <c r="K21" s="22"/>
    </row>
    <row r="22" spans="1:11" s="14" customFormat="1" ht="60" customHeight="1" x14ac:dyDescent="0.45">
      <c r="A22" s="22">
        <v>14</v>
      </c>
      <c r="B22" s="63" t="s">
        <v>218</v>
      </c>
      <c r="C22" s="22">
        <v>8</v>
      </c>
      <c r="D22" s="22" t="s">
        <v>47</v>
      </c>
      <c r="E22" s="39">
        <f>50/1000</f>
        <v>0.05</v>
      </c>
      <c r="F22" s="22">
        <f>100000/1000</f>
        <v>100</v>
      </c>
      <c r="G22" s="22"/>
      <c r="H22" s="22"/>
      <c r="I22" s="22"/>
      <c r="J22" s="22"/>
      <c r="K22" s="22"/>
    </row>
    <row r="23" spans="1:11" s="14" customFormat="1" ht="60" customHeight="1" x14ac:dyDescent="0.45">
      <c r="A23" s="22">
        <v>15</v>
      </c>
      <c r="B23" s="63" t="s">
        <v>220</v>
      </c>
      <c r="C23" s="22">
        <v>9</v>
      </c>
      <c r="D23" s="22" t="s">
        <v>32</v>
      </c>
      <c r="E23" s="22">
        <v>6</v>
      </c>
      <c r="F23" s="22">
        <f>300000/1000</f>
        <v>300</v>
      </c>
      <c r="G23" s="22"/>
      <c r="H23" s="22"/>
      <c r="I23" s="22"/>
      <c r="J23" s="22"/>
      <c r="K23" s="22"/>
    </row>
    <row r="24" spans="1:11" s="14" customFormat="1" ht="60" customHeight="1" x14ac:dyDescent="0.45">
      <c r="A24" s="22">
        <v>16</v>
      </c>
      <c r="B24" s="63" t="s">
        <v>221</v>
      </c>
      <c r="C24" s="21">
        <v>10</v>
      </c>
      <c r="D24" s="22" t="s">
        <v>16</v>
      </c>
      <c r="E24" s="22">
        <v>1</v>
      </c>
      <c r="F24" s="22">
        <f>50000/1000</f>
        <v>50</v>
      </c>
      <c r="G24" s="22"/>
      <c r="H24" s="22"/>
      <c r="I24" s="22"/>
      <c r="J24" s="22"/>
      <c r="K24" s="22"/>
    </row>
    <row r="25" spans="1:11" s="14" customFormat="1" ht="60" customHeight="1" x14ac:dyDescent="0.45">
      <c r="A25" s="22">
        <v>17</v>
      </c>
      <c r="B25" s="63" t="s">
        <v>222</v>
      </c>
      <c r="C25" s="22">
        <v>10</v>
      </c>
      <c r="D25" s="22" t="s">
        <v>16</v>
      </c>
      <c r="E25" s="22">
        <v>4</v>
      </c>
      <c r="F25" s="22">
        <f>200000/1000</f>
        <v>200</v>
      </c>
      <c r="G25" s="22"/>
      <c r="H25" s="22"/>
      <c r="I25" s="22"/>
      <c r="J25" s="22"/>
      <c r="K25" s="22"/>
    </row>
    <row r="26" spans="1:11" s="14" customFormat="1" ht="60" customHeight="1" x14ac:dyDescent="0.45">
      <c r="A26" s="22">
        <v>18</v>
      </c>
      <c r="B26" s="63" t="s">
        <v>225</v>
      </c>
      <c r="C26" s="22">
        <v>11</v>
      </c>
      <c r="D26" s="22" t="s">
        <v>32</v>
      </c>
      <c r="E26" s="22">
        <v>1</v>
      </c>
      <c r="F26" s="22">
        <f>300000/1000</f>
        <v>300</v>
      </c>
      <c r="G26" s="22"/>
      <c r="H26" s="22"/>
      <c r="I26" s="22"/>
      <c r="J26" s="22"/>
      <c r="K26" s="22"/>
    </row>
    <row r="27" spans="1:11" s="14" customFormat="1" ht="60" customHeight="1" x14ac:dyDescent="0.45">
      <c r="A27" s="22">
        <v>19</v>
      </c>
      <c r="B27" s="63" t="s">
        <v>227</v>
      </c>
      <c r="C27" s="22">
        <v>12</v>
      </c>
      <c r="D27" s="22" t="s">
        <v>32</v>
      </c>
      <c r="E27" s="22">
        <v>1</v>
      </c>
      <c r="F27" s="22">
        <f>500000/1000-37+50-26</f>
        <v>487</v>
      </c>
      <c r="G27" s="22"/>
      <c r="H27" s="22"/>
      <c r="I27" s="22"/>
      <c r="J27" s="22"/>
      <c r="K27" s="22"/>
    </row>
    <row r="28" spans="1:11" s="14" customFormat="1" ht="60" customHeight="1" x14ac:dyDescent="0.45">
      <c r="A28" s="22">
        <v>20</v>
      </c>
      <c r="B28" s="63" t="s">
        <v>406</v>
      </c>
      <c r="C28" s="22">
        <v>13</v>
      </c>
      <c r="D28" s="60" t="s">
        <v>32</v>
      </c>
      <c r="E28" s="21">
        <v>1</v>
      </c>
      <c r="F28" s="21">
        <f>200000/1000</f>
        <v>200</v>
      </c>
      <c r="G28" s="22"/>
      <c r="H28" s="22"/>
      <c r="I28" s="22"/>
      <c r="J28" s="22"/>
      <c r="K28" s="22"/>
    </row>
    <row r="29" spans="1:11" s="14" customFormat="1" ht="60" customHeight="1" x14ac:dyDescent="0.45">
      <c r="A29" s="22">
        <v>21</v>
      </c>
      <c r="B29" s="63" t="s">
        <v>230</v>
      </c>
      <c r="C29" s="21">
        <v>14</v>
      </c>
      <c r="D29" s="60" t="s">
        <v>32</v>
      </c>
      <c r="E29" s="21">
        <v>1</v>
      </c>
      <c r="F29" s="21">
        <f>500000/1000</f>
        <v>500</v>
      </c>
      <c r="G29" s="22"/>
      <c r="H29" s="22"/>
      <c r="I29" s="22"/>
      <c r="J29" s="22"/>
      <c r="K29" s="22"/>
    </row>
    <row r="30" spans="1:11" s="14" customFormat="1" ht="60" customHeight="1" x14ac:dyDescent="0.45">
      <c r="A30" s="22">
        <v>22</v>
      </c>
      <c r="B30" s="63" t="s">
        <v>407</v>
      </c>
      <c r="C30" s="22">
        <v>15</v>
      </c>
      <c r="D30" s="22" t="s">
        <v>32</v>
      </c>
      <c r="E30" s="22">
        <v>1</v>
      </c>
      <c r="F30" s="22">
        <f>300000/1000</f>
        <v>300</v>
      </c>
      <c r="G30" s="22"/>
      <c r="H30" s="22"/>
      <c r="I30" s="22"/>
      <c r="J30" s="22"/>
      <c r="K30" s="22"/>
    </row>
    <row r="31" spans="1:11" s="14" customFormat="1" ht="60" customHeight="1" x14ac:dyDescent="0.45">
      <c r="A31" s="22">
        <v>23</v>
      </c>
      <c r="B31" s="63" t="s">
        <v>620</v>
      </c>
      <c r="C31" s="21">
        <v>15</v>
      </c>
      <c r="D31" s="60" t="s">
        <v>32</v>
      </c>
      <c r="E31" s="33">
        <v>1</v>
      </c>
      <c r="F31" s="21">
        <f>800000/1000</f>
        <v>800</v>
      </c>
      <c r="G31" s="22"/>
      <c r="H31" s="22"/>
      <c r="I31" s="22"/>
      <c r="J31" s="22"/>
      <c r="K31" s="22"/>
    </row>
    <row r="32" spans="1:11" s="14" customFormat="1" ht="60" customHeight="1" x14ac:dyDescent="0.55000000000000004">
      <c r="A32" s="22">
        <v>24</v>
      </c>
      <c r="B32" s="63" t="s">
        <v>449</v>
      </c>
      <c r="C32" s="21">
        <v>16</v>
      </c>
      <c r="D32" s="22" t="s">
        <v>32</v>
      </c>
      <c r="E32" s="22">
        <v>1</v>
      </c>
      <c r="F32" s="21">
        <f>1000000/1000</f>
        <v>1000</v>
      </c>
      <c r="G32" s="36"/>
      <c r="H32" s="36"/>
      <c r="I32" s="36"/>
      <c r="J32" s="36"/>
      <c r="K32" s="36"/>
    </row>
    <row r="33" spans="1:11" s="14" customFormat="1" ht="60" customHeight="1" x14ac:dyDescent="0.45">
      <c r="A33" s="22">
        <v>25</v>
      </c>
      <c r="B33" s="63" t="s">
        <v>234</v>
      </c>
      <c r="C33" s="22" t="s">
        <v>235</v>
      </c>
      <c r="D33" s="60" t="s">
        <v>32</v>
      </c>
      <c r="E33" s="21">
        <v>2</v>
      </c>
      <c r="F33" s="21">
        <f>(100000+100000)/1000</f>
        <v>200</v>
      </c>
      <c r="G33" s="22"/>
      <c r="H33" s="22"/>
      <c r="I33" s="22"/>
      <c r="J33" s="22"/>
      <c r="K33" s="22"/>
    </row>
    <row r="34" spans="1:11" s="14" customFormat="1" ht="60" customHeight="1" x14ac:dyDescent="0.45">
      <c r="A34" s="22">
        <v>26</v>
      </c>
      <c r="B34" s="63" t="s">
        <v>236</v>
      </c>
      <c r="C34" s="21">
        <v>18</v>
      </c>
      <c r="D34" s="60" t="s">
        <v>32</v>
      </c>
      <c r="E34" s="21">
        <v>1</v>
      </c>
      <c r="F34" s="21">
        <f>30772/1000</f>
        <v>30.771999999999998</v>
      </c>
      <c r="G34" s="22"/>
      <c r="H34" s="22"/>
      <c r="I34" s="22"/>
      <c r="J34" s="22"/>
      <c r="K34" s="22"/>
    </row>
    <row r="35" spans="1:11" s="14" customFormat="1" ht="60" customHeight="1" x14ac:dyDescent="0.45">
      <c r="A35" s="22">
        <v>27</v>
      </c>
      <c r="B35" s="63" t="s">
        <v>237</v>
      </c>
      <c r="C35" s="22">
        <v>18</v>
      </c>
      <c r="D35" s="60" t="s">
        <v>32</v>
      </c>
      <c r="E35" s="22">
        <v>1</v>
      </c>
      <c r="F35" s="21">
        <f>20000/1000</f>
        <v>20</v>
      </c>
      <c r="G35" s="22"/>
      <c r="H35" s="22"/>
      <c r="I35" s="22"/>
      <c r="J35" s="22"/>
      <c r="K35" s="22"/>
    </row>
    <row r="36" spans="1:11" s="14" customFormat="1" ht="60" customHeight="1" x14ac:dyDescent="0.45">
      <c r="A36" s="22">
        <v>28</v>
      </c>
      <c r="B36" s="63" t="s">
        <v>238</v>
      </c>
      <c r="C36" s="22">
        <v>20</v>
      </c>
      <c r="D36" s="60" t="s">
        <v>32</v>
      </c>
      <c r="E36" s="22">
        <v>4</v>
      </c>
      <c r="F36" s="21">
        <f>54630/1000</f>
        <v>54.63</v>
      </c>
      <c r="G36" s="22"/>
      <c r="H36" s="22"/>
      <c r="I36" s="22"/>
      <c r="J36" s="22"/>
      <c r="K36" s="22"/>
    </row>
    <row r="37" spans="1:11" s="2" customFormat="1" ht="26.25" customHeight="1" x14ac:dyDescent="0.45">
      <c r="A37" s="196" t="s">
        <v>17</v>
      </c>
      <c r="B37" s="196"/>
      <c r="C37" s="196"/>
      <c r="D37" s="196"/>
      <c r="E37" s="196"/>
      <c r="F37" s="62"/>
      <c r="G37" s="62"/>
      <c r="H37" s="62"/>
      <c r="I37" s="62"/>
      <c r="J37" s="62"/>
      <c r="K37" s="62"/>
    </row>
    <row r="38" spans="1:11" s="2" customFormat="1" ht="27" customHeight="1" x14ac:dyDescent="0.45">
      <c r="A38" s="200" t="s">
        <v>34</v>
      </c>
      <c r="B38" s="200"/>
      <c r="C38" s="200"/>
      <c r="D38" s="200"/>
      <c r="E38" s="200"/>
      <c r="F38" s="88"/>
      <c r="G38" s="88"/>
      <c r="H38" s="88"/>
      <c r="I38" s="88"/>
      <c r="J38" s="88"/>
      <c r="K38" s="88"/>
    </row>
    <row r="39" spans="1:11" s="2" customFormat="1" ht="36.75" customHeight="1" x14ac:dyDescent="0.45">
      <c r="A39" s="21">
        <v>1</v>
      </c>
      <c r="B39" s="63" t="s">
        <v>201</v>
      </c>
      <c r="C39" s="22">
        <v>2</v>
      </c>
      <c r="D39" s="22" t="s">
        <v>32</v>
      </c>
      <c r="E39" s="22">
        <v>1</v>
      </c>
      <c r="F39" s="21">
        <f>78000/1000</f>
        <v>78</v>
      </c>
      <c r="G39" s="22"/>
      <c r="H39" s="22"/>
      <c r="I39" s="22"/>
      <c r="J39" s="22"/>
      <c r="K39" s="22"/>
    </row>
    <row r="40" spans="1:11" s="2" customFormat="1" ht="72.75" customHeight="1" x14ac:dyDescent="0.45">
      <c r="A40" s="21">
        <v>2</v>
      </c>
      <c r="B40" s="63" t="s">
        <v>215</v>
      </c>
      <c r="C40" s="22">
        <v>7</v>
      </c>
      <c r="D40" s="22" t="s">
        <v>16</v>
      </c>
      <c r="E40" s="22">
        <v>1</v>
      </c>
      <c r="F40" s="21">
        <f>50000/1000</f>
        <v>50</v>
      </c>
      <c r="G40" s="22">
        <v>28</v>
      </c>
      <c r="H40" s="22">
        <v>64</v>
      </c>
      <c r="I40" s="22">
        <v>41</v>
      </c>
      <c r="J40" s="22">
        <v>55</v>
      </c>
      <c r="K40" s="22"/>
    </row>
    <row r="41" spans="1:11" s="2" customFormat="1" ht="70.5" customHeight="1" x14ac:dyDescent="0.45">
      <c r="A41" s="21">
        <v>3</v>
      </c>
      <c r="B41" s="63" t="s">
        <v>226</v>
      </c>
      <c r="C41" s="22">
        <v>11</v>
      </c>
      <c r="D41" s="22" t="s">
        <v>32</v>
      </c>
      <c r="E41" s="22">
        <v>1</v>
      </c>
      <c r="F41" s="21">
        <f>100000/1000</f>
        <v>100</v>
      </c>
      <c r="G41" s="22"/>
      <c r="H41" s="22"/>
      <c r="I41" s="22"/>
      <c r="J41" s="22"/>
      <c r="K41" s="22"/>
    </row>
    <row r="42" spans="1:11" s="2" customFormat="1" ht="51" customHeight="1" x14ac:dyDescent="0.45">
      <c r="A42" s="21">
        <v>4</v>
      </c>
      <c r="B42" s="63" t="s">
        <v>231</v>
      </c>
      <c r="C42" s="22">
        <v>15</v>
      </c>
      <c r="D42" s="22" t="s">
        <v>32</v>
      </c>
      <c r="E42" s="22">
        <v>1</v>
      </c>
      <c r="F42" s="21">
        <v>40</v>
      </c>
      <c r="G42" s="22"/>
      <c r="H42" s="22"/>
      <c r="I42" s="22"/>
      <c r="J42" s="22"/>
      <c r="K42" s="22"/>
    </row>
    <row r="43" spans="1:11" s="2" customFormat="1" ht="60.75" customHeight="1" x14ac:dyDescent="0.45">
      <c r="A43" s="21">
        <v>5</v>
      </c>
      <c r="B43" s="25" t="s">
        <v>621</v>
      </c>
      <c r="C43" s="22">
        <v>16</v>
      </c>
      <c r="D43" s="22" t="s">
        <v>32</v>
      </c>
      <c r="E43" s="22">
        <v>1</v>
      </c>
      <c r="F43" s="21">
        <f>100000/1000</f>
        <v>100</v>
      </c>
      <c r="G43" s="22"/>
      <c r="H43" s="22"/>
      <c r="I43" s="22"/>
      <c r="J43" s="22"/>
      <c r="K43" s="22"/>
    </row>
    <row r="44" spans="1:11" s="2" customFormat="1" ht="24" customHeight="1" x14ac:dyDescent="0.45">
      <c r="A44" s="89" t="s">
        <v>14</v>
      </c>
      <c r="B44" s="89"/>
      <c r="C44" s="89"/>
      <c r="D44" s="89"/>
      <c r="E44" s="89"/>
      <c r="F44" s="59"/>
      <c r="G44" s="62"/>
      <c r="H44" s="62"/>
      <c r="I44" s="62"/>
      <c r="J44" s="62"/>
      <c r="K44" s="62"/>
    </row>
    <row r="45" spans="1:11" s="2" customFormat="1" ht="30.75" customHeight="1" x14ac:dyDescent="0.45">
      <c r="A45" s="200" t="s">
        <v>20</v>
      </c>
      <c r="B45" s="200"/>
      <c r="C45" s="200"/>
      <c r="D45" s="200"/>
      <c r="E45" s="200"/>
      <c r="F45" s="88"/>
      <c r="G45" s="88"/>
      <c r="H45" s="88"/>
      <c r="I45" s="88"/>
      <c r="J45" s="88"/>
      <c r="K45" s="88"/>
    </row>
    <row r="46" spans="1:11" s="2" customFormat="1" ht="52.5" customHeight="1" x14ac:dyDescent="0.45">
      <c r="A46" s="22">
        <v>1</v>
      </c>
      <c r="B46" s="63" t="s">
        <v>40</v>
      </c>
      <c r="C46" s="22">
        <v>1</v>
      </c>
      <c r="D46" s="22" t="s">
        <v>18</v>
      </c>
      <c r="E46" s="22">
        <v>10</v>
      </c>
      <c r="F46" s="21">
        <f>50000/1000</f>
        <v>50</v>
      </c>
      <c r="G46" s="22"/>
      <c r="H46" s="22"/>
      <c r="I46" s="22"/>
      <c r="J46" s="22"/>
      <c r="K46" s="22"/>
    </row>
    <row r="47" spans="1:11" s="2" customFormat="1" ht="47.25" customHeight="1" x14ac:dyDescent="0.45">
      <c r="A47" s="22">
        <v>2</v>
      </c>
      <c r="B47" s="63" t="s">
        <v>41</v>
      </c>
      <c r="C47" s="22">
        <v>1</v>
      </c>
      <c r="D47" s="22" t="s">
        <v>18</v>
      </c>
      <c r="E47" s="22">
        <v>20</v>
      </c>
      <c r="F47" s="21">
        <f>100000/1000</f>
        <v>100</v>
      </c>
      <c r="G47" s="22"/>
      <c r="H47" s="22"/>
      <c r="I47" s="22"/>
      <c r="J47" s="22"/>
      <c r="K47" s="22"/>
    </row>
    <row r="48" spans="1:11" s="2" customFormat="1" ht="43.5" customHeight="1" x14ac:dyDescent="0.45">
      <c r="A48" s="22">
        <v>3</v>
      </c>
      <c r="B48" s="63" t="s">
        <v>42</v>
      </c>
      <c r="C48" s="22">
        <v>1</v>
      </c>
      <c r="D48" s="22" t="s">
        <v>18</v>
      </c>
      <c r="E48" s="22">
        <v>20</v>
      </c>
      <c r="F48" s="21">
        <f>100000/1000</f>
        <v>100</v>
      </c>
      <c r="G48" s="22"/>
      <c r="H48" s="22"/>
      <c r="I48" s="22"/>
      <c r="J48" s="22"/>
      <c r="K48" s="22"/>
    </row>
    <row r="49" spans="1:11" s="2" customFormat="1" ht="51" customHeight="1" x14ac:dyDescent="0.45">
      <c r="A49" s="22">
        <v>4</v>
      </c>
      <c r="B49" s="63" t="s">
        <v>45</v>
      </c>
      <c r="C49" s="22">
        <v>1</v>
      </c>
      <c r="D49" s="22" t="s">
        <v>18</v>
      </c>
      <c r="E49" s="22">
        <v>20</v>
      </c>
      <c r="F49" s="21">
        <f>92000/1000</f>
        <v>92</v>
      </c>
      <c r="G49" s="22"/>
      <c r="H49" s="22"/>
      <c r="I49" s="22"/>
      <c r="J49" s="22"/>
      <c r="K49" s="22"/>
    </row>
    <row r="50" spans="1:11" s="2" customFormat="1" ht="49.5" customHeight="1" x14ac:dyDescent="0.45">
      <c r="A50" s="22">
        <v>5</v>
      </c>
      <c r="B50" s="63" t="s">
        <v>43</v>
      </c>
      <c r="C50" s="22">
        <v>1</v>
      </c>
      <c r="D50" s="22" t="s">
        <v>32</v>
      </c>
      <c r="E50" s="22">
        <v>1</v>
      </c>
      <c r="F50" s="22">
        <f>20000/1000</f>
        <v>20</v>
      </c>
      <c r="G50" s="22"/>
      <c r="H50" s="22"/>
      <c r="I50" s="22"/>
      <c r="J50" s="22"/>
      <c r="K50" s="22"/>
    </row>
    <row r="51" spans="1:11" s="2" customFormat="1" ht="41.25" customHeight="1" x14ac:dyDescent="0.45">
      <c r="A51" s="22">
        <v>6</v>
      </c>
      <c r="B51" s="63" t="s">
        <v>44</v>
      </c>
      <c r="C51" s="22">
        <v>1</v>
      </c>
      <c r="D51" s="22" t="s">
        <v>18</v>
      </c>
      <c r="E51" s="22">
        <v>20</v>
      </c>
      <c r="F51" s="21">
        <f t="shared" ref="F51" si="0">50000/1000</f>
        <v>50</v>
      </c>
      <c r="G51" s="22"/>
      <c r="H51" s="22"/>
      <c r="I51" s="22"/>
      <c r="J51" s="22"/>
      <c r="K51" s="22"/>
    </row>
    <row r="52" spans="1:11" s="2" customFormat="1" ht="41.25" customHeight="1" x14ac:dyDescent="0.45">
      <c r="A52" s="22">
        <v>7</v>
      </c>
      <c r="B52" s="63" t="s">
        <v>202</v>
      </c>
      <c r="C52" s="22">
        <v>2</v>
      </c>
      <c r="D52" s="22" t="s">
        <v>18</v>
      </c>
      <c r="E52" s="22">
        <v>10</v>
      </c>
      <c r="F52" s="21">
        <f>60000/1000</f>
        <v>60</v>
      </c>
      <c r="G52" s="22"/>
      <c r="H52" s="22"/>
      <c r="I52" s="22"/>
      <c r="J52" s="22"/>
      <c r="K52" s="22"/>
    </row>
    <row r="53" spans="1:11" s="2" customFormat="1" ht="41.25" customHeight="1" x14ac:dyDescent="0.45">
      <c r="A53" s="22">
        <v>8</v>
      </c>
      <c r="B53" s="63" t="s">
        <v>204</v>
      </c>
      <c r="C53" s="22">
        <v>3</v>
      </c>
      <c r="D53" s="22" t="s">
        <v>18</v>
      </c>
      <c r="E53" s="22">
        <v>30</v>
      </c>
      <c r="F53" s="21">
        <f>100000/1000</f>
        <v>100</v>
      </c>
      <c r="G53" s="22"/>
      <c r="H53" s="22"/>
      <c r="I53" s="22"/>
      <c r="J53" s="22"/>
      <c r="K53" s="22"/>
    </row>
    <row r="54" spans="1:11" s="2" customFormat="1" ht="51" customHeight="1" x14ac:dyDescent="0.45">
      <c r="A54" s="22">
        <v>9</v>
      </c>
      <c r="B54" s="63" t="s">
        <v>205</v>
      </c>
      <c r="C54" s="22">
        <v>3</v>
      </c>
      <c r="D54" s="22" t="s">
        <v>18</v>
      </c>
      <c r="E54" s="22">
        <v>20</v>
      </c>
      <c r="F54" s="21">
        <f>100000/1000</f>
        <v>100</v>
      </c>
      <c r="G54" s="22"/>
      <c r="H54" s="22"/>
      <c r="I54" s="22"/>
      <c r="J54" s="22"/>
      <c r="K54" s="22"/>
    </row>
    <row r="55" spans="1:11" s="2" customFormat="1" ht="51.75" customHeight="1" x14ac:dyDescent="0.45">
      <c r="A55" s="22">
        <v>10</v>
      </c>
      <c r="B55" s="63" t="s">
        <v>208</v>
      </c>
      <c r="C55" s="22">
        <v>5</v>
      </c>
      <c r="D55" s="22" t="s">
        <v>32</v>
      </c>
      <c r="E55" s="22">
        <v>20</v>
      </c>
      <c r="F55" s="21">
        <f>60000/1000</f>
        <v>60</v>
      </c>
      <c r="G55" s="22"/>
      <c r="H55" s="22"/>
      <c r="I55" s="22"/>
      <c r="J55" s="22"/>
      <c r="K55" s="22"/>
    </row>
    <row r="56" spans="1:11" s="2" customFormat="1" ht="48.75" customHeight="1" x14ac:dyDescent="0.45">
      <c r="A56" s="22">
        <v>11</v>
      </c>
      <c r="B56" s="63" t="s">
        <v>209</v>
      </c>
      <c r="C56" s="22">
        <v>5</v>
      </c>
      <c r="D56" s="22" t="s">
        <v>32</v>
      </c>
      <c r="E56" s="22">
        <v>20</v>
      </c>
      <c r="F56" s="21">
        <f>60000/1000</f>
        <v>60</v>
      </c>
      <c r="G56" s="22"/>
      <c r="H56" s="22"/>
      <c r="I56" s="22"/>
      <c r="J56" s="22"/>
      <c r="K56" s="22"/>
    </row>
    <row r="57" spans="1:11" s="2" customFormat="1" ht="49.5" customHeight="1" x14ac:dyDescent="0.45">
      <c r="A57" s="22">
        <v>12</v>
      </c>
      <c r="B57" s="63" t="s">
        <v>212</v>
      </c>
      <c r="C57" s="22">
        <v>6</v>
      </c>
      <c r="D57" s="22" t="s">
        <v>32</v>
      </c>
      <c r="E57" s="22">
        <v>30</v>
      </c>
      <c r="F57" s="21">
        <f>61000/1000</f>
        <v>61</v>
      </c>
      <c r="G57" s="22"/>
      <c r="H57" s="22"/>
      <c r="I57" s="22"/>
      <c r="J57" s="22"/>
      <c r="K57" s="22"/>
    </row>
    <row r="58" spans="1:11" s="2" customFormat="1" ht="45.75" customHeight="1" x14ac:dyDescent="0.45">
      <c r="A58" s="22">
        <v>13</v>
      </c>
      <c r="B58" s="63" t="s">
        <v>219</v>
      </c>
      <c r="C58" s="22">
        <v>8</v>
      </c>
      <c r="D58" s="22" t="s">
        <v>32</v>
      </c>
      <c r="E58" s="22">
        <v>1</v>
      </c>
      <c r="F58" s="21">
        <f>73000/1000</f>
        <v>73</v>
      </c>
      <c r="G58" s="22"/>
      <c r="H58" s="22"/>
      <c r="I58" s="22"/>
      <c r="J58" s="22"/>
      <c r="K58" s="22"/>
    </row>
    <row r="59" spans="1:11" s="2" customFormat="1" ht="41.25" customHeight="1" x14ac:dyDescent="0.45">
      <c r="A59" s="22">
        <v>14</v>
      </c>
      <c r="B59" s="63" t="s">
        <v>223</v>
      </c>
      <c r="C59" s="22">
        <v>10</v>
      </c>
      <c r="D59" s="22" t="s">
        <v>18</v>
      </c>
      <c r="E59" s="22">
        <v>30</v>
      </c>
      <c r="F59" s="21">
        <f>60000/1000</f>
        <v>60</v>
      </c>
      <c r="G59" s="22"/>
      <c r="H59" s="22"/>
      <c r="I59" s="22"/>
      <c r="J59" s="22"/>
      <c r="K59" s="22"/>
    </row>
    <row r="60" spans="1:11" s="2" customFormat="1" ht="47.25" customHeight="1" x14ac:dyDescent="0.45">
      <c r="A60" s="22">
        <v>15</v>
      </c>
      <c r="B60" s="63" t="s">
        <v>224</v>
      </c>
      <c r="C60" s="22">
        <v>10</v>
      </c>
      <c r="D60" s="22" t="s">
        <v>18</v>
      </c>
      <c r="E60" s="22">
        <v>30</v>
      </c>
      <c r="F60" s="21">
        <f>60000/1000</f>
        <v>60</v>
      </c>
      <c r="G60" s="22"/>
      <c r="H60" s="22"/>
      <c r="I60" s="22"/>
      <c r="J60" s="22"/>
      <c r="K60" s="22"/>
    </row>
    <row r="61" spans="1:11" s="2" customFormat="1" ht="49.5" customHeight="1" x14ac:dyDescent="0.45">
      <c r="A61" s="22">
        <v>16</v>
      </c>
      <c r="B61" s="63" t="s">
        <v>228</v>
      </c>
      <c r="C61" s="22">
        <v>13</v>
      </c>
      <c r="D61" s="22" t="s">
        <v>18</v>
      </c>
      <c r="E61" s="22">
        <v>30</v>
      </c>
      <c r="F61" s="21">
        <f>50000/1000</f>
        <v>50</v>
      </c>
      <c r="G61" s="22"/>
      <c r="H61" s="22"/>
      <c r="I61" s="22"/>
      <c r="J61" s="22"/>
      <c r="K61" s="22"/>
    </row>
    <row r="62" spans="1:11" s="2" customFormat="1" ht="41.25" customHeight="1" x14ac:dyDescent="0.45">
      <c r="A62" s="22">
        <v>17</v>
      </c>
      <c r="B62" s="63" t="s">
        <v>229</v>
      </c>
      <c r="C62" s="22">
        <v>13</v>
      </c>
      <c r="D62" s="22" t="s">
        <v>18</v>
      </c>
      <c r="E62" s="22">
        <v>30</v>
      </c>
      <c r="F62" s="21">
        <f>70000/1000</f>
        <v>70</v>
      </c>
      <c r="G62" s="22"/>
      <c r="H62" s="22"/>
      <c r="I62" s="22"/>
      <c r="J62" s="22"/>
      <c r="K62" s="22"/>
    </row>
    <row r="63" spans="1:11" s="2" customFormat="1" ht="66" customHeight="1" x14ac:dyDescent="0.45">
      <c r="A63" s="22">
        <v>18</v>
      </c>
      <c r="B63" s="63" t="s">
        <v>232</v>
      </c>
      <c r="C63" s="22">
        <v>15</v>
      </c>
      <c r="D63" s="22" t="s">
        <v>32</v>
      </c>
      <c r="E63" s="22">
        <v>26</v>
      </c>
      <c r="F63" s="21">
        <v>70</v>
      </c>
      <c r="G63" s="22"/>
      <c r="H63" s="22"/>
      <c r="I63" s="22"/>
      <c r="J63" s="22"/>
      <c r="K63" s="22"/>
    </row>
    <row r="64" spans="1:11" s="2" customFormat="1" ht="48" customHeight="1" x14ac:dyDescent="0.45">
      <c r="A64" s="22">
        <v>19</v>
      </c>
      <c r="B64" s="63" t="s">
        <v>233</v>
      </c>
      <c r="C64" s="22">
        <v>15</v>
      </c>
      <c r="D64" s="22" t="s">
        <v>18</v>
      </c>
      <c r="E64" s="22">
        <v>30</v>
      </c>
      <c r="F64" s="21">
        <v>50</v>
      </c>
      <c r="G64" s="22"/>
      <c r="H64" s="22"/>
      <c r="I64" s="22"/>
      <c r="J64" s="22"/>
      <c r="K64" s="22"/>
    </row>
    <row r="65" spans="1:11" s="2" customFormat="1" ht="53.25" customHeight="1" x14ac:dyDescent="0.45">
      <c r="A65" s="22">
        <v>20</v>
      </c>
      <c r="B65" s="63" t="s">
        <v>247</v>
      </c>
      <c r="C65" s="22">
        <v>16</v>
      </c>
      <c r="D65" s="22" t="s">
        <v>18</v>
      </c>
      <c r="E65" s="22">
        <v>30</v>
      </c>
      <c r="F65" s="21">
        <v>60</v>
      </c>
      <c r="G65" s="22"/>
      <c r="H65" s="22"/>
      <c r="I65" s="22"/>
      <c r="J65" s="22"/>
      <c r="K65" s="22"/>
    </row>
    <row r="66" spans="1:11" s="2" customFormat="1" ht="41.25" customHeight="1" x14ac:dyDescent="0.45">
      <c r="A66" s="22">
        <v>21</v>
      </c>
      <c r="B66" s="63" t="s">
        <v>248</v>
      </c>
      <c r="C66" s="22">
        <v>16</v>
      </c>
      <c r="D66" s="22" t="s">
        <v>18</v>
      </c>
      <c r="E66" s="22">
        <v>30</v>
      </c>
      <c r="F66" s="21">
        <v>50</v>
      </c>
      <c r="G66" s="22"/>
      <c r="H66" s="22"/>
      <c r="I66" s="22"/>
      <c r="J66" s="22"/>
      <c r="K66" s="22"/>
    </row>
    <row r="67" spans="1:11" s="2" customFormat="1" ht="56.25" customHeight="1" x14ac:dyDescent="0.45">
      <c r="A67" s="22">
        <v>22</v>
      </c>
      <c r="B67" s="63" t="s">
        <v>120</v>
      </c>
      <c r="C67" s="22">
        <v>17</v>
      </c>
      <c r="D67" s="22" t="s">
        <v>32</v>
      </c>
      <c r="E67" s="22">
        <v>30</v>
      </c>
      <c r="F67" s="22">
        <v>100</v>
      </c>
      <c r="G67" s="22"/>
      <c r="H67" s="22"/>
      <c r="I67" s="22"/>
      <c r="J67" s="22"/>
      <c r="K67" s="22"/>
    </row>
    <row r="68" spans="1:11" s="2" customFormat="1" ht="57.75" customHeight="1" x14ac:dyDescent="0.45">
      <c r="A68" s="22">
        <v>23</v>
      </c>
      <c r="B68" s="63" t="s">
        <v>121</v>
      </c>
      <c r="C68" s="22">
        <v>17</v>
      </c>
      <c r="D68" s="22" t="s">
        <v>32</v>
      </c>
      <c r="E68" s="22">
        <v>30</v>
      </c>
      <c r="F68" s="21">
        <v>110</v>
      </c>
      <c r="G68" s="22"/>
      <c r="H68" s="22"/>
      <c r="I68" s="22"/>
      <c r="J68" s="22"/>
      <c r="K68" s="22"/>
    </row>
    <row r="69" spans="1:11" s="2" customFormat="1" ht="41.25" customHeight="1" x14ac:dyDescent="0.45">
      <c r="A69" s="22">
        <v>24</v>
      </c>
      <c r="B69" s="63" t="s">
        <v>239</v>
      </c>
      <c r="C69" s="22">
        <v>18</v>
      </c>
      <c r="D69" s="22" t="s">
        <v>18</v>
      </c>
      <c r="E69" s="22">
        <v>10</v>
      </c>
      <c r="F69" s="21">
        <f>50000/1000</f>
        <v>50</v>
      </c>
      <c r="G69" s="22"/>
      <c r="H69" s="22"/>
      <c r="I69" s="22"/>
      <c r="J69" s="22"/>
      <c r="K69" s="22"/>
    </row>
    <row r="70" spans="1:11" s="2" customFormat="1" ht="55.5" customHeight="1" x14ac:dyDescent="0.45">
      <c r="A70" s="22">
        <v>25</v>
      </c>
      <c r="B70" s="63" t="s">
        <v>240</v>
      </c>
      <c r="C70" s="22">
        <v>18</v>
      </c>
      <c r="D70" s="22" t="s">
        <v>18</v>
      </c>
      <c r="E70" s="22">
        <v>20</v>
      </c>
      <c r="F70" s="21">
        <f>62000/1000</f>
        <v>62</v>
      </c>
      <c r="G70" s="22"/>
      <c r="H70" s="22"/>
      <c r="I70" s="22"/>
      <c r="J70" s="22"/>
      <c r="K70" s="22"/>
    </row>
    <row r="71" spans="1:11" s="2" customFormat="1" ht="41.25" customHeight="1" x14ac:dyDescent="0.45">
      <c r="A71" s="22">
        <v>26</v>
      </c>
      <c r="B71" s="63" t="s">
        <v>241</v>
      </c>
      <c r="C71" s="22">
        <v>18</v>
      </c>
      <c r="D71" s="22" t="s">
        <v>18</v>
      </c>
      <c r="E71" s="22">
        <v>20</v>
      </c>
      <c r="F71" s="21">
        <f>55000/1000</f>
        <v>55</v>
      </c>
      <c r="G71" s="22"/>
      <c r="H71" s="22"/>
      <c r="I71" s="22"/>
      <c r="J71" s="22"/>
      <c r="K71" s="22"/>
    </row>
    <row r="72" spans="1:11" s="2" customFormat="1" ht="41.25" customHeight="1" x14ac:dyDescent="0.45">
      <c r="A72" s="22">
        <v>27</v>
      </c>
      <c r="B72" s="63" t="s">
        <v>241</v>
      </c>
      <c r="C72" s="22">
        <v>18</v>
      </c>
      <c r="D72" s="22" t="s">
        <v>18</v>
      </c>
      <c r="E72" s="61"/>
      <c r="F72" s="21">
        <f>92000/1000</f>
        <v>92</v>
      </c>
      <c r="G72" s="22"/>
      <c r="H72" s="22"/>
      <c r="I72" s="22"/>
      <c r="J72" s="22"/>
      <c r="K72" s="22"/>
    </row>
    <row r="73" spans="1:11" s="2" customFormat="1" ht="41.25" customHeight="1" x14ac:dyDescent="0.45">
      <c r="A73" s="22">
        <v>28</v>
      </c>
      <c r="B73" s="63" t="s">
        <v>242</v>
      </c>
      <c r="C73" s="22">
        <v>19</v>
      </c>
      <c r="D73" s="22" t="s">
        <v>18</v>
      </c>
      <c r="E73" s="22">
        <v>22</v>
      </c>
      <c r="F73" s="21">
        <f>176000/1000</f>
        <v>176</v>
      </c>
      <c r="G73" s="22"/>
      <c r="H73" s="22"/>
      <c r="I73" s="22"/>
      <c r="J73" s="22"/>
      <c r="K73" s="22"/>
    </row>
    <row r="74" spans="1:11" s="2" customFormat="1" ht="41.25" customHeight="1" x14ac:dyDescent="0.45">
      <c r="A74" s="22">
        <v>29</v>
      </c>
      <c r="B74" s="63" t="s">
        <v>243</v>
      </c>
      <c r="C74" s="22">
        <v>19</v>
      </c>
      <c r="D74" s="22" t="s">
        <v>18</v>
      </c>
      <c r="E74" s="22">
        <v>22</v>
      </c>
      <c r="F74" s="21">
        <f>199544/1000</f>
        <v>199.54400000000001</v>
      </c>
      <c r="G74" s="22"/>
      <c r="H74" s="22"/>
      <c r="I74" s="22"/>
      <c r="J74" s="22"/>
      <c r="K74" s="22"/>
    </row>
    <row r="75" spans="1:11" s="2" customFormat="1" ht="41.25" customHeight="1" x14ac:dyDescent="0.45">
      <c r="A75" s="22">
        <v>30</v>
      </c>
      <c r="B75" s="63" t="s">
        <v>348</v>
      </c>
      <c r="C75" s="22">
        <v>19</v>
      </c>
      <c r="D75" s="22" t="s">
        <v>32</v>
      </c>
      <c r="E75" s="22">
        <v>1</v>
      </c>
      <c r="F75" s="21">
        <f>50000/1000</f>
        <v>50</v>
      </c>
      <c r="G75" s="22"/>
      <c r="H75" s="22"/>
      <c r="I75" s="22"/>
      <c r="J75" s="22"/>
      <c r="K75" s="22"/>
    </row>
    <row r="76" spans="1:11" s="2" customFormat="1" ht="41.25" customHeight="1" x14ac:dyDescent="0.45">
      <c r="A76" s="22">
        <v>31</v>
      </c>
      <c r="B76" s="63" t="s">
        <v>349</v>
      </c>
      <c r="C76" s="22">
        <v>19</v>
      </c>
      <c r="D76" s="22" t="s">
        <v>32</v>
      </c>
      <c r="E76" s="22">
        <v>1</v>
      </c>
      <c r="F76" s="21">
        <f>50000/1000</f>
        <v>50</v>
      </c>
      <c r="G76" s="22"/>
      <c r="H76" s="22"/>
      <c r="I76" s="22"/>
      <c r="J76" s="22"/>
      <c r="K76" s="22"/>
    </row>
    <row r="77" spans="1:11" s="2" customFormat="1" ht="48" customHeight="1" x14ac:dyDescent="0.45">
      <c r="A77" s="22">
        <v>32</v>
      </c>
      <c r="B77" s="63" t="s">
        <v>244</v>
      </c>
      <c r="C77" s="22">
        <v>20</v>
      </c>
      <c r="D77" s="22" t="s">
        <v>18</v>
      </c>
      <c r="E77" s="22">
        <v>22</v>
      </c>
      <c r="F77" s="21">
        <f>54628/1000</f>
        <v>54.628</v>
      </c>
      <c r="G77" s="22"/>
      <c r="H77" s="22"/>
      <c r="I77" s="22"/>
      <c r="J77" s="22"/>
      <c r="K77" s="22"/>
    </row>
    <row r="78" spans="1:11" s="2" customFormat="1" ht="41.25" customHeight="1" x14ac:dyDescent="0.45">
      <c r="A78" s="22">
        <v>33</v>
      </c>
      <c r="B78" s="63" t="s">
        <v>245</v>
      </c>
      <c r="C78" s="22">
        <v>20</v>
      </c>
      <c r="D78" s="22" t="s">
        <v>18</v>
      </c>
      <c r="E78" s="22">
        <v>25</v>
      </c>
      <c r="F78" s="21">
        <f>54628/1000</f>
        <v>54.628</v>
      </c>
      <c r="G78" s="22"/>
      <c r="H78" s="22"/>
      <c r="I78" s="22"/>
      <c r="J78" s="22"/>
      <c r="K78" s="22"/>
    </row>
    <row r="79" spans="1:11" s="2" customFormat="1" ht="53.25" customHeight="1" x14ac:dyDescent="0.45">
      <c r="A79" s="22">
        <v>34</v>
      </c>
      <c r="B79" s="63" t="s">
        <v>246</v>
      </c>
      <c r="C79" s="22">
        <v>20</v>
      </c>
      <c r="D79" s="22" t="s">
        <v>18</v>
      </c>
      <c r="E79" s="22">
        <v>60</v>
      </c>
      <c r="F79" s="21">
        <f>54628/1000</f>
        <v>54.628</v>
      </c>
      <c r="G79" s="22"/>
      <c r="H79" s="22"/>
      <c r="I79" s="22"/>
      <c r="J79" s="22"/>
      <c r="K79" s="22"/>
    </row>
    <row r="80" spans="1:11" s="2" customFormat="1" ht="22.5" customHeight="1" x14ac:dyDescent="0.45">
      <c r="A80" s="175" t="s">
        <v>14</v>
      </c>
      <c r="B80" s="175"/>
      <c r="C80" s="175"/>
      <c r="D80" s="175"/>
      <c r="E80" s="175"/>
      <c r="F80" s="59"/>
      <c r="G80" s="62"/>
      <c r="H80" s="62"/>
      <c r="I80" s="62"/>
      <c r="J80" s="62"/>
      <c r="K80" s="62"/>
    </row>
    <row r="81" spans="1:11" s="2" customFormat="1" ht="24" customHeight="1" x14ac:dyDescent="0.45">
      <c r="A81" s="200" t="s">
        <v>22</v>
      </c>
      <c r="B81" s="200"/>
      <c r="C81" s="200"/>
      <c r="D81" s="200"/>
      <c r="E81" s="200"/>
      <c r="F81" s="88"/>
      <c r="G81" s="88"/>
      <c r="H81" s="88"/>
      <c r="I81" s="88"/>
      <c r="J81" s="88"/>
      <c r="K81" s="88"/>
    </row>
    <row r="82" spans="1:11" s="2" customFormat="1" ht="24.75" customHeight="1" x14ac:dyDescent="0.45">
      <c r="A82" s="21"/>
      <c r="B82" s="63"/>
      <c r="C82" s="22"/>
      <c r="D82" s="22"/>
      <c r="E82" s="22"/>
      <c r="F82" s="21"/>
      <c r="G82" s="22"/>
      <c r="H82" s="22"/>
      <c r="I82" s="22"/>
      <c r="J82" s="22"/>
      <c r="K82" s="22"/>
    </row>
    <row r="83" spans="1:11" s="2" customFormat="1" ht="27.75" customHeight="1" x14ac:dyDescent="0.45">
      <c r="A83" s="175" t="s">
        <v>14</v>
      </c>
      <c r="B83" s="175"/>
      <c r="C83" s="175"/>
      <c r="D83" s="175"/>
      <c r="E83" s="175"/>
      <c r="F83" s="59">
        <f>SUM(F9:F82)</f>
        <v>10314.830000000002</v>
      </c>
      <c r="G83" s="62"/>
      <c r="H83" s="62"/>
      <c r="I83" s="95"/>
      <c r="J83" s="95"/>
      <c r="K83" s="95"/>
    </row>
    <row r="84" spans="1:11" x14ac:dyDescent="0.5">
      <c r="A84" s="11"/>
      <c r="D84" s="3"/>
      <c r="E84" s="8"/>
      <c r="F84" s="12"/>
      <c r="G84" s="9"/>
      <c r="H84" s="9"/>
      <c r="I84" s="9"/>
      <c r="J84" s="9"/>
      <c r="K84" s="12"/>
    </row>
    <row r="85" spans="1:11" s="6" customFormat="1" x14ac:dyDescent="0.5">
      <c r="A85" s="11"/>
      <c r="D85" s="4"/>
      <c r="E85" s="5"/>
      <c r="F85" s="5"/>
      <c r="G85" s="5"/>
      <c r="H85" s="5"/>
      <c r="I85" s="5"/>
      <c r="J85" s="5"/>
      <c r="K85" s="3"/>
    </row>
  </sheetData>
  <mergeCells count="21">
    <mergeCell ref="A1:K1"/>
    <mergeCell ref="A2:K2"/>
    <mergeCell ref="A3:K3"/>
    <mergeCell ref="A4:A6"/>
    <mergeCell ref="B4:B6"/>
    <mergeCell ref="C4:C6"/>
    <mergeCell ref="D4:D6"/>
    <mergeCell ref="E4:F4"/>
    <mergeCell ref="G4:J4"/>
    <mergeCell ref="K4:K6"/>
    <mergeCell ref="E5:E6"/>
    <mergeCell ref="F5:F6"/>
    <mergeCell ref="G5:H5"/>
    <mergeCell ref="I5:J5"/>
    <mergeCell ref="A8:K8"/>
    <mergeCell ref="A83:E83"/>
    <mergeCell ref="A37:E37"/>
    <mergeCell ref="A80:E80"/>
    <mergeCell ref="A38:E38"/>
    <mergeCell ref="A45:E45"/>
    <mergeCell ref="A81:E81"/>
  </mergeCells>
  <pageMargins left="0.25" right="0.25" top="0.75" bottom="0.52" header="0.3" footer="0.3"/>
  <pageSetup paperSize="9" scale="70" orientation="portrait" r:id="rId1"/>
  <headerFooter>
    <oddFooter xml:space="preserve">&amp;C &amp;R                    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view="pageBreakPreview" topLeftCell="A94" zoomScale="91" zoomScaleNormal="78" zoomScaleSheetLayoutView="91" workbookViewId="0">
      <selection activeCell="K98" sqref="K98"/>
    </sheetView>
  </sheetViews>
  <sheetFormatPr defaultColWidth="9.140625" defaultRowHeight="24" x14ac:dyDescent="0.5"/>
  <cols>
    <col min="1" max="1" width="6" style="10" customWidth="1"/>
    <col min="2" max="2" width="57.5703125" style="1" customWidth="1"/>
    <col min="3" max="3" width="6.5703125" style="1" customWidth="1"/>
    <col min="4" max="4" width="6.85546875" style="7" customWidth="1"/>
    <col min="5" max="5" width="11.7109375" style="1" customWidth="1"/>
    <col min="6" max="6" width="12.28515625" style="1" customWidth="1"/>
    <col min="7" max="7" width="8.28515625" style="1" customWidth="1"/>
    <col min="8" max="8" width="6.5703125" style="1" customWidth="1"/>
    <col min="9" max="9" width="8.7109375" style="1" customWidth="1"/>
    <col min="10" max="10" width="7" style="1" customWidth="1"/>
    <col min="11" max="11" width="8.42578125" style="15" customWidth="1"/>
    <col min="12" max="16384" width="9.140625" style="1"/>
  </cols>
  <sheetData>
    <row r="1" spans="1:11" ht="45" customHeight="1" x14ac:dyDescent="0.5">
      <c r="A1" s="176" t="s">
        <v>13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ht="27" customHeight="1" x14ac:dyDescent="0.5">
      <c r="A2" s="177" t="s">
        <v>11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</row>
    <row r="3" spans="1:11" ht="48.75" customHeight="1" x14ac:dyDescent="0.5">
      <c r="A3" s="178" t="s">
        <v>460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</row>
    <row r="4" spans="1:11" s="2" customFormat="1" ht="26.25" customHeight="1" x14ac:dyDescent="0.45">
      <c r="A4" s="193" t="s">
        <v>4</v>
      </c>
      <c r="B4" s="180" t="s">
        <v>5</v>
      </c>
      <c r="C4" s="179" t="s">
        <v>12</v>
      </c>
      <c r="D4" s="179" t="s">
        <v>0</v>
      </c>
      <c r="E4" s="180" t="s">
        <v>6</v>
      </c>
      <c r="F4" s="180"/>
      <c r="G4" s="180" t="s">
        <v>3</v>
      </c>
      <c r="H4" s="180"/>
      <c r="I4" s="180"/>
      <c r="J4" s="180"/>
      <c r="K4" s="179" t="s">
        <v>1</v>
      </c>
    </row>
    <row r="5" spans="1:11" s="2" customFormat="1" ht="23.25" customHeight="1" x14ac:dyDescent="0.45">
      <c r="A5" s="193"/>
      <c r="B5" s="180"/>
      <c r="C5" s="179"/>
      <c r="D5" s="179"/>
      <c r="E5" s="180" t="s">
        <v>7</v>
      </c>
      <c r="F5" s="186" t="s">
        <v>15</v>
      </c>
      <c r="G5" s="180" t="s">
        <v>8</v>
      </c>
      <c r="H5" s="180"/>
      <c r="I5" s="180" t="s">
        <v>2</v>
      </c>
      <c r="J5" s="180"/>
      <c r="K5" s="179"/>
    </row>
    <row r="6" spans="1:11" s="16" customFormat="1" ht="47.25" customHeight="1" x14ac:dyDescent="0.45">
      <c r="A6" s="193"/>
      <c r="B6" s="180"/>
      <c r="C6" s="179"/>
      <c r="D6" s="179"/>
      <c r="E6" s="180"/>
      <c r="F6" s="186"/>
      <c r="G6" s="19" t="s">
        <v>9</v>
      </c>
      <c r="H6" s="19" t="s">
        <v>10</v>
      </c>
      <c r="I6" s="19" t="s">
        <v>9</v>
      </c>
      <c r="J6" s="19" t="s">
        <v>10</v>
      </c>
      <c r="K6" s="179"/>
    </row>
    <row r="7" spans="1:11" s="17" customFormat="1" ht="23.25" customHeight="1" x14ac:dyDescent="0.45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1">
        <v>10</v>
      </c>
      <c r="K7" s="21">
        <v>11</v>
      </c>
    </row>
    <row r="8" spans="1:11" s="2" customFormat="1" ht="26.25" customHeight="1" x14ac:dyDescent="0.45">
      <c r="A8" s="189" t="s">
        <v>19</v>
      </c>
      <c r="B8" s="190"/>
      <c r="C8" s="190"/>
      <c r="D8" s="190"/>
      <c r="E8" s="190"/>
      <c r="F8" s="190"/>
      <c r="G8" s="190"/>
      <c r="H8" s="190"/>
      <c r="I8" s="190"/>
      <c r="J8" s="190"/>
      <c r="K8" s="191"/>
    </row>
    <row r="9" spans="1:11" s="2" customFormat="1" ht="54.75" customHeight="1" x14ac:dyDescent="0.45">
      <c r="A9" s="21">
        <v>1</v>
      </c>
      <c r="B9" s="24" t="s">
        <v>35</v>
      </c>
      <c r="C9" s="21">
        <v>1</v>
      </c>
      <c r="D9" s="34" t="s">
        <v>32</v>
      </c>
      <c r="E9" s="21">
        <v>1</v>
      </c>
      <c r="F9" s="21">
        <f>150000/1000</f>
        <v>150</v>
      </c>
      <c r="G9" s="21"/>
      <c r="H9" s="21"/>
      <c r="I9" s="21"/>
      <c r="J9" s="30"/>
      <c r="K9" s="31"/>
    </row>
    <row r="10" spans="1:11" s="2" customFormat="1" ht="48" customHeight="1" x14ac:dyDescent="0.45">
      <c r="A10" s="21">
        <v>2</v>
      </c>
      <c r="B10" s="24" t="s">
        <v>37</v>
      </c>
      <c r="C10" s="21">
        <v>1</v>
      </c>
      <c r="D10" s="34" t="s">
        <v>38</v>
      </c>
      <c r="E10" s="33">
        <f>30/1000</f>
        <v>0.03</v>
      </c>
      <c r="F10" s="21">
        <f>100000/1000</f>
        <v>100</v>
      </c>
      <c r="G10" s="21"/>
      <c r="H10" s="21"/>
      <c r="I10" s="21"/>
      <c r="J10" s="30"/>
      <c r="K10" s="31"/>
    </row>
    <row r="11" spans="1:11" s="2" customFormat="1" ht="54" customHeight="1" x14ac:dyDescent="0.45">
      <c r="A11" s="21">
        <v>3</v>
      </c>
      <c r="B11" s="24" t="s">
        <v>39</v>
      </c>
      <c r="C11" s="21">
        <v>1</v>
      </c>
      <c r="D11" s="34" t="s">
        <v>16</v>
      </c>
      <c r="E11" s="21">
        <v>1</v>
      </c>
      <c r="F11" s="21">
        <f>50000/1000</f>
        <v>50</v>
      </c>
      <c r="G11" s="21"/>
      <c r="H11" s="21"/>
      <c r="I11" s="21"/>
      <c r="J11" s="30"/>
      <c r="K11" s="31"/>
    </row>
    <row r="12" spans="1:11" s="2" customFormat="1" ht="54" customHeight="1" x14ac:dyDescent="0.45">
      <c r="A12" s="21">
        <v>4</v>
      </c>
      <c r="B12" s="24" t="s">
        <v>433</v>
      </c>
      <c r="C12" s="21">
        <v>2</v>
      </c>
      <c r="D12" s="34" t="s">
        <v>141</v>
      </c>
      <c r="E12" s="21">
        <v>10</v>
      </c>
      <c r="F12" s="21">
        <f>98</f>
        <v>98</v>
      </c>
      <c r="G12" s="21"/>
      <c r="H12" s="21"/>
      <c r="I12" s="21"/>
      <c r="J12" s="30"/>
      <c r="K12" s="31"/>
    </row>
    <row r="13" spans="1:11" s="2" customFormat="1" ht="54" customHeight="1" x14ac:dyDescent="0.45">
      <c r="A13" s="21">
        <v>5</v>
      </c>
      <c r="B13" s="24" t="s">
        <v>142</v>
      </c>
      <c r="C13" s="21">
        <v>2</v>
      </c>
      <c r="D13" s="34" t="s">
        <v>32</v>
      </c>
      <c r="E13" s="33">
        <v>1</v>
      </c>
      <c r="F13" s="21">
        <f>200000/1000</f>
        <v>200</v>
      </c>
      <c r="G13" s="21"/>
      <c r="H13" s="21"/>
      <c r="I13" s="21"/>
      <c r="J13" s="30"/>
      <c r="K13" s="31"/>
    </row>
    <row r="14" spans="1:11" s="2" customFormat="1" ht="54" customHeight="1" x14ac:dyDescent="0.45">
      <c r="A14" s="21">
        <v>6</v>
      </c>
      <c r="B14" s="24" t="s">
        <v>143</v>
      </c>
      <c r="C14" s="21">
        <v>2</v>
      </c>
      <c r="D14" s="34" t="s">
        <v>32</v>
      </c>
      <c r="E14" s="21">
        <v>4</v>
      </c>
      <c r="F14" s="21">
        <f>80000/1000</f>
        <v>80</v>
      </c>
      <c r="G14" s="21"/>
      <c r="H14" s="21"/>
      <c r="I14" s="21"/>
      <c r="J14" s="30"/>
      <c r="K14" s="31"/>
    </row>
    <row r="15" spans="1:11" s="2" customFormat="1" ht="54" customHeight="1" x14ac:dyDescent="0.45">
      <c r="A15" s="21">
        <v>7</v>
      </c>
      <c r="B15" s="24" t="s">
        <v>144</v>
      </c>
      <c r="C15" s="21">
        <v>3</v>
      </c>
      <c r="D15" s="34" t="s">
        <v>32</v>
      </c>
      <c r="E15" s="21">
        <v>1</v>
      </c>
      <c r="F15" s="21">
        <f>150000/1000</f>
        <v>150</v>
      </c>
      <c r="G15" s="21"/>
      <c r="H15" s="21"/>
      <c r="I15" s="21"/>
      <c r="J15" s="30"/>
      <c r="K15" s="31"/>
    </row>
    <row r="16" spans="1:11" s="2" customFormat="1" ht="54" customHeight="1" x14ac:dyDescent="0.45">
      <c r="A16" s="21">
        <v>8</v>
      </c>
      <c r="B16" s="24" t="s">
        <v>487</v>
      </c>
      <c r="C16" s="21">
        <v>3</v>
      </c>
      <c r="D16" s="34" t="s">
        <v>32</v>
      </c>
      <c r="E16" s="21">
        <v>1</v>
      </c>
      <c r="F16" s="21">
        <f>110000/1000</f>
        <v>110</v>
      </c>
      <c r="G16" s="21"/>
      <c r="H16" s="21"/>
      <c r="I16" s="21"/>
      <c r="J16" s="30"/>
      <c r="K16" s="31"/>
    </row>
    <row r="17" spans="1:11" s="2" customFormat="1" ht="54" customHeight="1" x14ac:dyDescent="0.45">
      <c r="A17" s="21">
        <v>9</v>
      </c>
      <c r="B17" s="24" t="s">
        <v>145</v>
      </c>
      <c r="C17" s="21">
        <v>3</v>
      </c>
      <c r="D17" s="34" t="s">
        <v>32</v>
      </c>
      <c r="E17" s="21">
        <v>1</v>
      </c>
      <c r="F17" s="21">
        <f>50000/1000</f>
        <v>50</v>
      </c>
      <c r="G17" s="21"/>
      <c r="H17" s="21"/>
      <c r="I17" s="21"/>
      <c r="J17" s="30"/>
      <c r="K17" s="31"/>
    </row>
    <row r="18" spans="1:11" s="2" customFormat="1" ht="54" customHeight="1" x14ac:dyDescent="0.45">
      <c r="A18" s="21">
        <v>10</v>
      </c>
      <c r="B18" s="24" t="s">
        <v>146</v>
      </c>
      <c r="C18" s="21">
        <v>3</v>
      </c>
      <c r="D18" s="34" t="s">
        <v>32</v>
      </c>
      <c r="E18" s="21">
        <v>1</v>
      </c>
      <c r="F18" s="21">
        <f>50000/1000</f>
        <v>50</v>
      </c>
      <c r="G18" s="21"/>
      <c r="H18" s="21"/>
      <c r="I18" s="21"/>
      <c r="J18" s="30"/>
      <c r="K18" s="31"/>
    </row>
    <row r="19" spans="1:11" s="2" customFormat="1" ht="54" customHeight="1" x14ac:dyDescent="0.45">
      <c r="A19" s="21">
        <v>11</v>
      </c>
      <c r="B19" s="24" t="s">
        <v>147</v>
      </c>
      <c r="C19" s="21">
        <v>4</v>
      </c>
      <c r="D19" s="58" t="s">
        <v>32</v>
      </c>
      <c r="E19" s="21">
        <v>1</v>
      </c>
      <c r="F19" s="21">
        <f>250000/1000-39</f>
        <v>211</v>
      </c>
      <c r="G19" s="21"/>
      <c r="H19" s="21"/>
      <c r="I19" s="21"/>
      <c r="J19" s="30"/>
      <c r="K19" s="31"/>
    </row>
    <row r="20" spans="1:11" s="2" customFormat="1" ht="54" customHeight="1" x14ac:dyDescent="0.45">
      <c r="A20" s="21">
        <v>12</v>
      </c>
      <c r="B20" s="24" t="s">
        <v>148</v>
      </c>
      <c r="C20" s="21">
        <v>4</v>
      </c>
      <c r="D20" s="58" t="s">
        <v>32</v>
      </c>
      <c r="E20" s="21">
        <v>1</v>
      </c>
      <c r="F20" s="21">
        <f>70000/1000</f>
        <v>70</v>
      </c>
      <c r="G20" s="21"/>
      <c r="H20" s="21"/>
      <c r="I20" s="21"/>
      <c r="J20" s="30"/>
      <c r="K20" s="31"/>
    </row>
    <row r="21" spans="1:11" s="2" customFormat="1" ht="54" customHeight="1" x14ac:dyDescent="0.45">
      <c r="A21" s="21">
        <v>13</v>
      </c>
      <c r="B21" s="24" t="s">
        <v>149</v>
      </c>
      <c r="C21" s="21">
        <v>5</v>
      </c>
      <c r="D21" s="34" t="s">
        <v>32</v>
      </c>
      <c r="E21" s="21">
        <v>1</v>
      </c>
      <c r="F21" s="21">
        <f>100000/1000</f>
        <v>100</v>
      </c>
      <c r="G21" s="21"/>
      <c r="H21" s="21"/>
      <c r="I21" s="21"/>
      <c r="J21" s="30"/>
      <c r="K21" s="31"/>
    </row>
    <row r="22" spans="1:11" s="2" customFormat="1" ht="54" customHeight="1" x14ac:dyDescent="0.45">
      <c r="A22" s="21">
        <v>14</v>
      </c>
      <c r="B22" s="24" t="s">
        <v>150</v>
      </c>
      <c r="C22" s="21">
        <v>5</v>
      </c>
      <c r="D22" s="34" t="s">
        <v>32</v>
      </c>
      <c r="E22" s="21">
        <v>1</v>
      </c>
      <c r="F22" s="21">
        <f>175000/1000</f>
        <v>175</v>
      </c>
      <c r="G22" s="21"/>
      <c r="H22" s="21"/>
      <c r="I22" s="21"/>
      <c r="J22" s="30"/>
      <c r="K22" s="31"/>
    </row>
    <row r="23" spans="1:11" s="2" customFormat="1" ht="54" customHeight="1" x14ac:dyDescent="0.45">
      <c r="A23" s="21">
        <v>15</v>
      </c>
      <c r="B23" s="24" t="s">
        <v>152</v>
      </c>
      <c r="C23" s="21">
        <v>6</v>
      </c>
      <c r="D23" s="34" t="s">
        <v>32</v>
      </c>
      <c r="E23" s="21">
        <v>1</v>
      </c>
      <c r="F23" s="21">
        <f>50000/1000</f>
        <v>50</v>
      </c>
      <c r="G23" s="21"/>
      <c r="H23" s="21"/>
      <c r="I23" s="21"/>
      <c r="J23" s="30"/>
      <c r="K23" s="31"/>
    </row>
    <row r="24" spans="1:11" s="2" customFormat="1" ht="54" customHeight="1" x14ac:dyDescent="0.45">
      <c r="A24" s="21">
        <v>16</v>
      </c>
      <c r="B24" s="24" t="s">
        <v>402</v>
      </c>
      <c r="C24" s="21">
        <v>6</v>
      </c>
      <c r="D24" s="34" t="s">
        <v>32</v>
      </c>
      <c r="E24" s="21">
        <v>1</v>
      </c>
      <c r="F24" s="21">
        <f>200000/1000</f>
        <v>200</v>
      </c>
      <c r="G24" s="21"/>
      <c r="H24" s="21"/>
      <c r="I24" s="21"/>
      <c r="J24" s="30"/>
      <c r="K24" s="31"/>
    </row>
    <row r="25" spans="1:11" s="2" customFormat="1" ht="54" customHeight="1" x14ac:dyDescent="0.45">
      <c r="A25" s="21">
        <v>17</v>
      </c>
      <c r="B25" s="24" t="s">
        <v>153</v>
      </c>
      <c r="C25" s="21">
        <v>6</v>
      </c>
      <c r="D25" s="34" t="s">
        <v>32</v>
      </c>
      <c r="E25" s="21">
        <v>1</v>
      </c>
      <c r="F25" s="21">
        <f>81000/1000</f>
        <v>81</v>
      </c>
      <c r="G25" s="21"/>
      <c r="H25" s="21"/>
      <c r="I25" s="21"/>
      <c r="J25" s="30"/>
      <c r="K25" s="31"/>
    </row>
    <row r="26" spans="1:11" s="2" customFormat="1" ht="54" customHeight="1" x14ac:dyDescent="0.45">
      <c r="A26" s="21">
        <v>18</v>
      </c>
      <c r="B26" s="24" t="s">
        <v>154</v>
      </c>
      <c r="C26" s="21">
        <v>6</v>
      </c>
      <c r="D26" s="34" t="s">
        <v>32</v>
      </c>
      <c r="E26" s="21">
        <v>1</v>
      </c>
      <c r="F26" s="21">
        <f>100000/1000</f>
        <v>100</v>
      </c>
      <c r="G26" s="21"/>
      <c r="H26" s="21"/>
      <c r="I26" s="21"/>
      <c r="J26" s="30"/>
      <c r="K26" s="31"/>
    </row>
    <row r="27" spans="1:11" s="2" customFormat="1" ht="54" customHeight="1" x14ac:dyDescent="0.45">
      <c r="A27" s="21">
        <v>19</v>
      </c>
      <c r="B27" s="24" t="s">
        <v>410</v>
      </c>
      <c r="C27" s="21">
        <v>7</v>
      </c>
      <c r="D27" s="21" t="s">
        <v>47</v>
      </c>
      <c r="E27" s="33">
        <f>100/1000</f>
        <v>0.1</v>
      </c>
      <c r="F27" s="21">
        <f>100000/1000</f>
        <v>100</v>
      </c>
      <c r="G27" s="21">
        <v>123</v>
      </c>
      <c r="H27" s="21">
        <v>271</v>
      </c>
      <c r="I27" s="21">
        <v>27</v>
      </c>
      <c r="J27" s="30">
        <v>35</v>
      </c>
      <c r="K27" s="31"/>
    </row>
    <row r="28" spans="1:11" s="2" customFormat="1" ht="54" customHeight="1" x14ac:dyDescent="0.45">
      <c r="A28" s="21">
        <v>20</v>
      </c>
      <c r="B28" s="24" t="s">
        <v>156</v>
      </c>
      <c r="C28" s="21">
        <v>7</v>
      </c>
      <c r="D28" s="21" t="s">
        <v>47</v>
      </c>
      <c r="E28" s="33">
        <f t="shared" ref="E28:E30" si="0">100/1000</f>
        <v>0.1</v>
      </c>
      <c r="F28" s="21">
        <f>150000/1000</f>
        <v>150</v>
      </c>
      <c r="G28" s="21">
        <v>254</v>
      </c>
      <c r="H28" s="21">
        <v>398</v>
      </c>
      <c r="I28" s="21">
        <v>31</v>
      </c>
      <c r="J28" s="30">
        <v>54</v>
      </c>
      <c r="K28" s="31"/>
    </row>
    <row r="29" spans="1:11" s="2" customFormat="1" ht="54" customHeight="1" x14ac:dyDescent="0.45">
      <c r="A29" s="21">
        <v>21</v>
      </c>
      <c r="B29" s="24" t="s">
        <v>157</v>
      </c>
      <c r="C29" s="21">
        <v>7</v>
      </c>
      <c r="D29" s="34" t="s">
        <v>32</v>
      </c>
      <c r="E29" s="33">
        <v>1</v>
      </c>
      <c r="F29" s="21">
        <f>50000/1000</f>
        <v>50</v>
      </c>
      <c r="G29" s="21">
        <v>128</v>
      </c>
      <c r="H29" s="21">
        <v>236</v>
      </c>
      <c r="I29" s="21">
        <v>9</v>
      </c>
      <c r="J29" s="30">
        <v>214</v>
      </c>
      <c r="K29" s="31"/>
    </row>
    <row r="30" spans="1:11" s="2" customFormat="1" ht="54" customHeight="1" x14ac:dyDescent="0.45">
      <c r="A30" s="21">
        <v>22</v>
      </c>
      <c r="B30" s="24" t="s">
        <v>158</v>
      </c>
      <c r="C30" s="21">
        <v>7</v>
      </c>
      <c r="D30" s="21" t="s">
        <v>47</v>
      </c>
      <c r="E30" s="33">
        <f t="shared" si="0"/>
        <v>0.1</v>
      </c>
      <c r="F30" s="21">
        <f>50000/1000</f>
        <v>50</v>
      </c>
      <c r="G30" s="21">
        <v>137</v>
      </c>
      <c r="H30" s="21">
        <v>254</v>
      </c>
      <c r="I30" s="21">
        <v>27</v>
      </c>
      <c r="J30" s="30">
        <v>98</v>
      </c>
      <c r="K30" s="31"/>
    </row>
    <row r="31" spans="1:11" s="2" customFormat="1" ht="54" customHeight="1" x14ac:dyDescent="0.45">
      <c r="A31" s="21">
        <v>23</v>
      </c>
      <c r="B31" s="24" t="s">
        <v>160</v>
      </c>
      <c r="C31" s="21">
        <v>8</v>
      </c>
      <c r="D31" s="34" t="s">
        <v>32</v>
      </c>
      <c r="E31" s="21">
        <v>1</v>
      </c>
      <c r="F31" s="21">
        <f>200000/1000</f>
        <v>200</v>
      </c>
      <c r="G31" s="21"/>
      <c r="H31" s="21"/>
      <c r="I31" s="21"/>
      <c r="J31" s="30"/>
      <c r="K31" s="31"/>
    </row>
    <row r="32" spans="1:11" s="2" customFormat="1" ht="54" customHeight="1" x14ac:dyDescent="0.55000000000000004">
      <c r="A32" s="21">
        <v>24</v>
      </c>
      <c r="B32" s="24" t="s">
        <v>265</v>
      </c>
      <c r="C32" s="40">
        <v>8</v>
      </c>
      <c r="D32" s="22" t="s">
        <v>32</v>
      </c>
      <c r="E32" s="22">
        <v>1</v>
      </c>
      <c r="F32" s="21">
        <f>2000000/1000</f>
        <v>2000</v>
      </c>
      <c r="G32" s="22"/>
      <c r="H32" s="22"/>
      <c r="I32" s="22"/>
      <c r="J32" s="22"/>
      <c r="K32" s="22"/>
    </row>
    <row r="33" spans="1:11" s="2" customFormat="1" ht="54" customHeight="1" x14ac:dyDescent="0.45">
      <c r="A33" s="21">
        <v>25</v>
      </c>
      <c r="B33" s="24" t="s">
        <v>162</v>
      </c>
      <c r="C33" s="21">
        <v>9</v>
      </c>
      <c r="D33" s="34" t="s">
        <v>32</v>
      </c>
      <c r="E33" s="21">
        <v>1</v>
      </c>
      <c r="F33" s="21">
        <f>200000/1000</f>
        <v>200</v>
      </c>
      <c r="G33" s="21"/>
      <c r="H33" s="21"/>
      <c r="I33" s="21"/>
      <c r="J33" s="30"/>
      <c r="K33" s="31"/>
    </row>
    <row r="34" spans="1:11" s="2" customFormat="1" ht="54" customHeight="1" x14ac:dyDescent="0.45">
      <c r="A34" s="21">
        <v>26</v>
      </c>
      <c r="B34" s="24" t="s">
        <v>163</v>
      </c>
      <c r="C34" s="21">
        <v>9</v>
      </c>
      <c r="D34" s="21" t="s">
        <v>47</v>
      </c>
      <c r="E34" s="33">
        <f>150/1000</f>
        <v>0.15</v>
      </c>
      <c r="F34" s="21">
        <f>200000/1000</f>
        <v>200</v>
      </c>
      <c r="G34" s="21"/>
      <c r="H34" s="21"/>
      <c r="I34" s="21"/>
      <c r="J34" s="30"/>
      <c r="K34" s="31"/>
    </row>
    <row r="35" spans="1:11" s="2" customFormat="1" ht="54" customHeight="1" x14ac:dyDescent="0.45">
      <c r="A35" s="21">
        <v>27</v>
      </c>
      <c r="B35" s="24" t="s">
        <v>164</v>
      </c>
      <c r="C35" s="21">
        <v>10</v>
      </c>
      <c r="D35" s="34" t="s">
        <v>32</v>
      </c>
      <c r="E35" s="33">
        <v>1</v>
      </c>
      <c r="F35" s="21">
        <f>150000/1000</f>
        <v>150</v>
      </c>
      <c r="G35" s="21"/>
      <c r="H35" s="21"/>
      <c r="I35" s="21"/>
      <c r="J35" s="30"/>
      <c r="K35" s="31"/>
    </row>
    <row r="36" spans="1:11" s="2" customFormat="1" ht="54" customHeight="1" x14ac:dyDescent="0.45">
      <c r="A36" s="21">
        <v>28</v>
      </c>
      <c r="B36" s="24" t="s">
        <v>165</v>
      </c>
      <c r="C36" s="21">
        <v>10</v>
      </c>
      <c r="D36" s="51" t="s">
        <v>46</v>
      </c>
      <c r="E36" s="33">
        <f>250/1000</f>
        <v>0.25</v>
      </c>
      <c r="F36" s="21">
        <f>100000/1000</f>
        <v>100</v>
      </c>
      <c r="G36" s="21"/>
      <c r="H36" s="21"/>
      <c r="I36" s="21"/>
      <c r="J36" s="30"/>
      <c r="K36" s="31"/>
    </row>
    <row r="37" spans="1:11" s="2" customFormat="1" ht="54" customHeight="1" x14ac:dyDescent="0.45">
      <c r="A37" s="21">
        <v>29</v>
      </c>
      <c r="B37" s="24" t="s">
        <v>167</v>
      </c>
      <c r="C37" s="21">
        <v>11</v>
      </c>
      <c r="D37" s="34" t="s">
        <v>32</v>
      </c>
      <c r="E37" s="21">
        <v>1</v>
      </c>
      <c r="F37" s="21">
        <v>100</v>
      </c>
      <c r="G37" s="21"/>
      <c r="H37" s="21"/>
      <c r="I37" s="21"/>
      <c r="J37" s="30"/>
      <c r="K37" s="31"/>
    </row>
    <row r="38" spans="1:11" s="2" customFormat="1" ht="54" customHeight="1" x14ac:dyDescent="0.45">
      <c r="A38" s="21">
        <v>30</v>
      </c>
      <c r="B38" s="24" t="s">
        <v>434</v>
      </c>
      <c r="C38" s="21">
        <v>11</v>
      </c>
      <c r="D38" s="34" t="s">
        <v>32</v>
      </c>
      <c r="E38" s="21">
        <v>1</v>
      </c>
      <c r="F38" s="21">
        <f>200000/1000</f>
        <v>200</v>
      </c>
      <c r="G38" s="21"/>
      <c r="H38" s="21"/>
      <c r="I38" s="21"/>
      <c r="J38" s="30"/>
      <c r="K38" s="31"/>
    </row>
    <row r="39" spans="1:11" s="2" customFormat="1" ht="54" customHeight="1" x14ac:dyDescent="0.45">
      <c r="A39" s="21">
        <v>31</v>
      </c>
      <c r="B39" s="35" t="s">
        <v>168</v>
      </c>
      <c r="C39" s="22">
        <v>11</v>
      </c>
      <c r="D39" s="34" t="s">
        <v>32</v>
      </c>
      <c r="E39" s="21">
        <v>1</v>
      </c>
      <c r="F39" s="21">
        <f>50000/1000</f>
        <v>50</v>
      </c>
      <c r="G39" s="21"/>
      <c r="H39" s="21"/>
      <c r="I39" s="21"/>
      <c r="J39" s="30"/>
      <c r="K39" s="31"/>
    </row>
    <row r="40" spans="1:11" s="2" customFormat="1" ht="67.5" customHeight="1" x14ac:dyDescent="0.45">
      <c r="A40" s="21">
        <v>32</v>
      </c>
      <c r="B40" s="25" t="s">
        <v>169</v>
      </c>
      <c r="C40" s="22">
        <v>11</v>
      </c>
      <c r="D40" s="34" t="s">
        <v>32</v>
      </c>
      <c r="E40" s="21">
        <v>1</v>
      </c>
      <c r="F40" s="21">
        <f>25000/1000</f>
        <v>25</v>
      </c>
      <c r="G40" s="21"/>
      <c r="H40" s="21"/>
      <c r="I40" s="21"/>
      <c r="J40" s="30"/>
      <c r="K40" s="31"/>
    </row>
    <row r="41" spans="1:11" s="2" customFormat="1" ht="54" customHeight="1" x14ac:dyDescent="0.45">
      <c r="A41" s="21">
        <v>33</v>
      </c>
      <c r="B41" s="24" t="s">
        <v>435</v>
      </c>
      <c r="C41" s="21">
        <v>12</v>
      </c>
      <c r="D41" s="90" t="s">
        <v>32</v>
      </c>
      <c r="E41" s="21">
        <v>1</v>
      </c>
      <c r="F41" s="21">
        <f>100000/1000</f>
        <v>100</v>
      </c>
      <c r="G41" s="21"/>
      <c r="H41" s="21"/>
      <c r="I41" s="21"/>
      <c r="J41" s="30"/>
      <c r="K41" s="31"/>
    </row>
    <row r="42" spans="1:11" s="2" customFormat="1" ht="54" customHeight="1" x14ac:dyDescent="0.45">
      <c r="A42" s="21">
        <v>34</v>
      </c>
      <c r="B42" s="24" t="s">
        <v>170</v>
      </c>
      <c r="C42" s="21">
        <v>12</v>
      </c>
      <c r="D42" s="90" t="s">
        <v>32</v>
      </c>
      <c r="E42" s="21">
        <v>1</v>
      </c>
      <c r="F42" s="21">
        <f>50000/1000</f>
        <v>50</v>
      </c>
      <c r="G42" s="21"/>
      <c r="H42" s="21"/>
      <c r="I42" s="21"/>
      <c r="J42" s="30"/>
      <c r="K42" s="31"/>
    </row>
    <row r="43" spans="1:11" s="2" customFormat="1" ht="54" customHeight="1" x14ac:dyDescent="0.45">
      <c r="A43" s="21">
        <v>35</v>
      </c>
      <c r="B43" s="24" t="s">
        <v>436</v>
      </c>
      <c r="C43" s="21">
        <v>12</v>
      </c>
      <c r="D43" s="90" t="s">
        <v>32</v>
      </c>
      <c r="E43" s="21">
        <v>1</v>
      </c>
      <c r="F43" s="21">
        <f>100000/1000</f>
        <v>100</v>
      </c>
      <c r="G43" s="21"/>
      <c r="H43" s="21"/>
      <c r="I43" s="21"/>
      <c r="J43" s="30"/>
      <c r="K43" s="31"/>
    </row>
    <row r="44" spans="1:11" s="2" customFormat="1" ht="54" customHeight="1" x14ac:dyDescent="0.45">
      <c r="A44" s="21">
        <v>36</v>
      </c>
      <c r="B44" s="24" t="s">
        <v>171</v>
      </c>
      <c r="C44" s="21">
        <v>12</v>
      </c>
      <c r="D44" s="90" t="s">
        <v>32</v>
      </c>
      <c r="E44" s="21">
        <v>1</v>
      </c>
      <c r="F44" s="21">
        <f>20000/1000</f>
        <v>20</v>
      </c>
      <c r="G44" s="21"/>
      <c r="H44" s="21"/>
      <c r="I44" s="21"/>
      <c r="J44" s="30"/>
      <c r="K44" s="31"/>
    </row>
    <row r="45" spans="1:11" s="2" customFormat="1" ht="54" customHeight="1" x14ac:dyDescent="0.45">
      <c r="A45" s="21">
        <v>37</v>
      </c>
      <c r="B45" s="24" t="s">
        <v>172</v>
      </c>
      <c r="C45" s="21">
        <v>12</v>
      </c>
      <c r="D45" s="90" t="s">
        <v>32</v>
      </c>
      <c r="E45" s="21">
        <v>1</v>
      </c>
      <c r="F45" s="21">
        <f>30000/1000</f>
        <v>30</v>
      </c>
      <c r="G45" s="21"/>
      <c r="H45" s="21"/>
      <c r="I45" s="21"/>
      <c r="J45" s="30"/>
      <c r="K45" s="31"/>
    </row>
    <row r="46" spans="1:11" s="2" customFormat="1" ht="54" customHeight="1" x14ac:dyDescent="0.45">
      <c r="A46" s="21">
        <v>38</v>
      </c>
      <c r="B46" s="24" t="s">
        <v>173</v>
      </c>
      <c r="C46" s="21">
        <v>13</v>
      </c>
      <c r="D46" s="90" t="s">
        <v>32</v>
      </c>
      <c r="E46" s="21">
        <v>1</v>
      </c>
      <c r="F46" s="21">
        <f>50000/1000</f>
        <v>50</v>
      </c>
      <c r="G46" s="21"/>
      <c r="H46" s="21"/>
      <c r="I46" s="21"/>
      <c r="J46" s="30"/>
      <c r="K46" s="31"/>
    </row>
    <row r="47" spans="1:11" s="2" customFormat="1" ht="54" customHeight="1" x14ac:dyDescent="0.45">
      <c r="A47" s="21">
        <v>39</v>
      </c>
      <c r="B47" s="24" t="s">
        <v>437</v>
      </c>
      <c r="C47" s="21">
        <v>13</v>
      </c>
      <c r="D47" s="90" t="s">
        <v>32</v>
      </c>
      <c r="E47" s="21">
        <v>1</v>
      </c>
      <c r="F47" s="21">
        <f t="shared" ref="F47:F50" si="1">50000/1000</f>
        <v>50</v>
      </c>
      <c r="G47" s="21"/>
      <c r="H47" s="21"/>
      <c r="I47" s="21"/>
      <c r="J47" s="30"/>
      <c r="K47" s="31"/>
    </row>
    <row r="48" spans="1:11" s="2" customFormat="1" ht="54" customHeight="1" x14ac:dyDescent="0.45">
      <c r="A48" s="21">
        <v>40</v>
      </c>
      <c r="B48" s="24" t="s">
        <v>438</v>
      </c>
      <c r="C48" s="21">
        <v>13</v>
      </c>
      <c r="D48" s="90" t="s">
        <v>32</v>
      </c>
      <c r="E48" s="21">
        <v>1</v>
      </c>
      <c r="F48" s="21">
        <f t="shared" si="1"/>
        <v>50</v>
      </c>
      <c r="G48" s="21"/>
      <c r="H48" s="21"/>
      <c r="I48" s="21"/>
      <c r="J48" s="30"/>
      <c r="K48" s="31"/>
    </row>
    <row r="49" spans="1:11" s="2" customFormat="1" ht="54" customHeight="1" x14ac:dyDescent="0.45">
      <c r="A49" s="21">
        <v>41</v>
      </c>
      <c r="B49" s="24" t="s">
        <v>439</v>
      </c>
      <c r="C49" s="21">
        <v>13</v>
      </c>
      <c r="D49" s="90" t="s">
        <v>32</v>
      </c>
      <c r="E49" s="21">
        <v>1</v>
      </c>
      <c r="F49" s="21">
        <f t="shared" si="1"/>
        <v>50</v>
      </c>
      <c r="G49" s="21"/>
      <c r="H49" s="21"/>
      <c r="I49" s="21"/>
      <c r="J49" s="30"/>
      <c r="K49" s="31"/>
    </row>
    <row r="50" spans="1:11" s="2" customFormat="1" ht="54" customHeight="1" x14ac:dyDescent="0.45">
      <c r="A50" s="21">
        <v>42</v>
      </c>
      <c r="B50" s="24" t="s">
        <v>440</v>
      </c>
      <c r="C50" s="21">
        <v>13</v>
      </c>
      <c r="D50" s="90" t="s">
        <v>32</v>
      </c>
      <c r="E50" s="21">
        <v>1</v>
      </c>
      <c r="F50" s="21">
        <f t="shared" si="1"/>
        <v>50</v>
      </c>
      <c r="G50" s="21"/>
      <c r="H50" s="21"/>
      <c r="I50" s="21"/>
      <c r="J50" s="30"/>
      <c r="K50" s="31"/>
    </row>
    <row r="51" spans="1:11" s="2" customFormat="1" ht="58.5" customHeight="1" x14ac:dyDescent="0.45">
      <c r="A51" s="21">
        <v>43</v>
      </c>
      <c r="B51" s="24" t="s">
        <v>441</v>
      </c>
      <c r="C51" s="21">
        <v>13</v>
      </c>
      <c r="D51" s="42" t="s">
        <v>32</v>
      </c>
      <c r="E51" s="21">
        <v>1</v>
      </c>
      <c r="F51" s="21">
        <f>100000/1000</f>
        <v>100</v>
      </c>
      <c r="G51" s="21"/>
      <c r="H51" s="21"/>
      <c r="I51" s="21"/>
      <c r="J51" s="30"/>
      <c r="K51" s="31"/>
    </row>
    <row r="52" spans="1:11" s="2" customFormat="1" ht="54" customHeight="1" x14ac:dyDescent="0.45">
      <c r="A52" s="21">
        <v>44</v>
      </c>
      <c r="B52" s="24" t="s">
        <v>175</v>
      </c>
      <c r="C52" s="21">
        <v>14</v>
      </c>
      <c r="D52" s="34" t="s">
        <v>32</v>
      </c>
      <c r="E52" s="21">
        <v>1</v>
      </c>
      <c r="F52" s="21">
        <f>50000/1000</f>
        <v>50</v>
      </c>
      <c r="G52" s="21"/>
      <c r="H52" s="21"/>
      <c r="I52" s="21"/>
      <c r="J52" s="30"/>
      <c r="K52" s="31"/>
    </row>
    <row r="53" spans="1:11" s="2" customFormat="1" ht="54" customHeight="1" x14ac:dyDescent="0.45">
      <c r="A53" s="21">
        <v>45</v>
      </c>
      <c r="B53" s="24" t="s">
        <v>176</v>
      </c>
      <c r="C53" s="21">
        <v>14</v>
      </c>
      <c r="D53" s="90" t="s">
        <v>32</v>
      </c>
      <c r="E53" s="21">
        <v>1</v>
      </c>
      <c r="F53" s="21">
        <f>100000/1000</f>
        <v>100</v>
      </c>
      <c r="G53" s="21"/>
      <c r="H53" s="21"/>
      <c r="I53" s="21"/>
      <c r="J53" s="30"/>
      <c r="K53" s="31"/>
    </row>
    <row r="54" spans="1:11" s="2" customFormat="1" ht="54" customHeight="1" x14ac:dyDescent="0.45">
      <c r="A54" s="21">
        <v>46</v>
      </c>
      <c r="B54" s="24" t="s">
        <v>177</v>
      </c>
      <c r="C54" s="21">
        <v>14</v>
      </c>
      <c r="D54" s="90" t="s">
        <v>32</v>
      </c>
      <c r="E54" s="21">
        <v>1</v>
      </c>
      <c r="F54" s="21">
        <f>63000/1000</f>
        <v>63</v>
      </c>
      <c r="G54" s="21"/>
      <c r="H54" s="21"/>
      <c r="I54" s="21"/>
      <c r="J54" s="30"/>
      <c r="K54" s="31"/>
    </row>
    <row r="55" spans="1:11" s="2" customFormat="1" ht="54" customHeight="1" x14ac:dyDescent="0.45">
      <c r="A55" s="21">
        <v>47</v>
      </c>
      <c r="B55" s="24" t="s">
        <v>178</v>
      </c>
      <c r="C55" s="21">
        <v>14</v>
      </c>
      <c r="D55" s="90" t="s">
        <v>32</v>
      </c>
      <c r="E55" s="21">
        <v>1</v>
      </c>
      <c r="F55" s="21">
        <f>50000/1000</f>
        <v>50</v>
      </c>
      <c r="G55" s="21"/>
      <c r="H55" s="21"/>
      <c r="I55" s="21"/>
      <c r="J55" s="30"/>
      <c r="K55" s="31"/>
    </row>
    <row r="56" spans="1:11" s="2" customFormat="1" ht="54" customHeight="1" x14ac:dyDescent="0.45">
      <c r="A56" s="21">
        <v>48</v>
      </c>
      <c r="B56" s="24" t="s">
        <v>180</v>
      </c>
      <c r="C56" s="21">
        <v>15</v>
      </c>
      <c r="D56" s="34" t="s">
        <v>32</v>
      </c>
      <c r="E56" s="21">
        <v>1</v>
      </c>
      <c r="F56" s="21">
        <v>100</v>
      </c>
      <c r="G56" s="21"/>
      <c r="H56" s="21"/>
      <c r="I56" s="21"/>
      <c r="J56" s="30"/>
      <c r="K56" s="31"/>
    </row>
    <row r="57" spans="1:11" s="2" customFormat="1" ht="54" customHeight="1" x14ac:dyDescent="0.45">
      <c r="A57" s="21">
        <v>49</v>
      </c>
      <c r="B57" s="24" t="s">
        <v>181</v>
      </c>
      <c r="C57" s="21">
        <v>15</v>
      </c>
      <c r="D57" s="60" t="s">
        <v>32</v>
      </c>
      <c r="E57" s="21">
        <v>1</v>
      </c>
      <c r="F57" s="21">
        <v>50</v>
      </c>
      <c r="G57" s="21"/>
      <c r="H57" s="21"/>
      <c r="I57" s="21"/>
      <c r="J57" s="30"/>
      <c r="K57" s="31"/>
    </row>
    <row r="58" spans="1:11" s="2" customFormat="1" ht="54" customHeight="1" x14ac:dyDescent="0.45">
      <c r="A58" s="21">
        <v>50</v>
      </c>
      <c r="B58" s="24" t="s">
        <v>184</v>
      </c>
      <c r="C58" s="21">
        <v>16</v>
      </c>
      <c r="D58" s="90" t="s">
        <v>32</v>
      </c>
      <c r="E58" s="33">
        <f>200/1000</f>
        <v>0.2</v>
      </c>
      <c r="F58" s="21">
        <f>100000/1000</f>
        <v>100</v>
      </c>
      <c r="G58" s="21"/>
      <c r="H58" s="21"/>
      <c r="I58" s="21"/>
      <c r="J58" s="30"/>
      <c r="K58" s="31"/>
    </row>
    <row r="59" spans="1:11" s="2" customFormat="1" ht="54" customHeight="1" x14ac:dyDescent="0.45">
      <c r="A59" s="21">
        <v>51</v>
      </c>
      <c r="B59" s="24" t="s">
        <v>442</v>
      </c>
      <c r="C59" s="21">
        <v>16</v>
      </c>
      <c r="D59" s="34" t="s">
        <v>47</v>
      </c>
      <c r="E59" s="33">
        <f>200/1000</f>
        <v>0.2</v>
      </c>
      <c r="F59" s="21">
        <v>100</v>
      </c>
      <c r="G59" s="21"/>
      <c r="H59" s="21"/>
      <c r="I59" s="21"/>
      <c r="J59" s="30"/>
      <c r="K59" s="31"/>
    </row>
    <row r="60" spans="1:11" s="2" customFormat="1" ht="54.75" customHeight="1" x14ac:dyDescent="0.45">
      <c r="A60" s="21">
        <v>52</v>
      </c>
      <c r="B60" s="35" t="s">
        <v>443</v>
      </c>
      <c r="C60" s="21">
        <v>17</v>
      </c>
      <c r="D60" s="34" t="s">
        <v>47</v>
      </c>
      <c r="E60" s="37">
        <f>100/1000</f>
        <v>0.1</v>
      </c>
      <c r="F60" s="21">
        <f>200000/1000</f>
        <v>200</v>
      </c>
      <c r="G60" s="21"/>
      <c r="H60" s="21"/>
      <c r="I60" s="21"/>
      <c r="J60" s="30"/>
      <c r="K60" s="31"/>
    </row>
    <row r="61" spans="1:11" s="2" customFormat="1" ht="60.75" customHeight="1" x14ac:dyDescent="0.45">
      <c r="A61" s="21">
        <v>53</v>
      </c>
      <c r="B61" s="24" t="s">
        <v>186</v>
      </c>
      <c r="C61" s="21">
        <v>18</v>
      </c>
      <c r="D61" s="34" t="s">
        <v>32</v>
      </c>
      <c r="E61" s="21">
        <v>1</v>
      </c>
      <c r="F61" s="21">
        <f>100000/1000</f>
        <v>100</v>
      </c>
      <c r="G61" s="21"/>
      <c r="H61" s="21"/>
      <c r="I61" s="21"/>
      <c r="J61" s="30"/>
      <c r="K61" s="31"/>
    </row>
    <row r="62" spans="1:11" s="2" customFormat="1" ht="54" customHeight="1" x14ac:dyDescent="0.45">
      <c r="A62" s="21">
        <v>54</v>
      </c>
      <c r="B62" s="24" t="s">
        <v>187</v>
      </c>
      <c r="C62" s="21">
        <v>18</v>
      </c>
      <c r="D62" s="34" t="s">
        <v>32</v>
      </c>
      <c r="E62" s="21">
        <v>1</v>
      </c>
      <c r="F62" s="21">
        <f>74600/1000</f>
        <v>74.599999999999994</v>
      </c>
      <c r="G62" s="21"/>
      <c r="H62" s="21"/>
      <c r="I62" s="21"/>
      <c r="J62" s="30"/>
      <c r="K62" s="31"/>
    </row>
    <row r="63" spans="1:11" s="2" customFormat="1" ht="54" customHeight="1" x14ac:dyDescent="0.45">
      <c r="A63" s="21">
        <v>55</v>
      </c>
      <c r="B63" s="24" t="s">
        <v>188</v>
      </c>
      <c r="C63" s="21">
        <v>18</v>
      </c>
      <c r="D63" s="34" t="s">
        <v>32</v>
      </c>
      <c r="E63" s="21">
        <v>1</v>
      </c>
      <c r="F63" s="21">
        <f>37300/1000</f>
        <v>37.299999999999997</v>
      </c>
      <c r="G63" s="21"/>
      <c r="H63" s="21"/>
      <c r="I63" s="21"/>
      <c r="J63" s="30"/>
      <c r="K63" s="31"/>
    </row>
    <row r="64" spans="1:11" s="2" customFormat="1" ht="54" customHeight="1" x14ac:dyDescent="0.45">
      <c r="A64" s="21">
        <v>56</v>
      </c>
      <c r="B64" s="24" t="s">
        <v>189</v>
      </c>
      <c r="C64" s="21">
        <v>18</v>
      </c>
      <c r="D64" s="34" t="s">
        <v>32</v>
      </c>
      <c r="E64" s="21">
        <v>1</v>
      </c>
      <c r="F64" s="21">
        <f>20000/1000</f>
        <v>20</v>
      </c>
      <c r="G64" s="21"/>
      <c r="H64" s="21"/>
      <c r="I64" s="21"/>
      <c r="J64" s="30"/>
      <c r="K64" s="31"/>
    </row>
    <row r="65" spans="1:11" s="2" customFormat="1" ht="54" customHeight="1" x14ac:dyDescent="0.45">
      <c r="A65" s="21">
        <v>57</v>
      </c>
      <c r="B65" s="24" t="s">
        <v>190</v>
      </c>
      <c r="C65" s="21">
        <v>18</v>
      </c>
      <c r="D65" s="34" t="s">
        <v>32</v>
      </c>
      <c r="E65" s="21">
        <v>1</v>
      </c>
      <c r="F65" s="21">
        <f>20000/1000</f>
        <v>20</v>
      </c>
      <c r="G65" s="21"/>
      <c r="H65" s="21"/>
      <c r="I65" s="21"/>
      <c r="J65" s="30"/>
      <c r="K65" s="31"/>
    </row>
    <row r="66" spans="1:11" s="2" customFormat="1" ht="54" customHeight="1" x14ac:dyDescent="0.45">
      <c r="A66" s="21">
        <v>58</v>
      </c>
      <c r="B66" s="24" t="s">
        <v>191</v>
      </c>
      <c r="C66" s="21">
        <v>18</v>
      </c>
      <c r="D66" s="34" t="s">
        <v>32</v>
      </c>
      <c r="E66" s="21">
        <v>1</v>
      </c>
      <c r="F66" s="21">
        <f>20872/1000</f>
        <v>20.872</v>
      </c>
      <c r="G66" s="21"/>
      <c r="H66" s="21"/>
      <c r="I66" s="21"/>
      <c r="J66" s="30"/>
      <c r="K66" s="31"/>
    </row>
    <row r="67" spans="1:11" s="2" customFormat="1" ht="54" customHeight="1" x14ac:dyDescent="0.45">
      <c r="A67" s="21">
        <v>59</v>
      </c>
      <c r="B67" s="24" t="s">
        <v>192</v>
      </c>
      <c r="C67" s="21">
        <v>19</v>
      </c>
      <c r="D67" s="34" t="s">
        <v>32</v>
      </c>
      <c r="E67" s="21">
        <v>1</v>
      </c>
      <c r="F67" s="21">
        <f>105000/1000</f>
        <v>105</v>
      </c>
      <c r="G67" s="21"/>
      <c r="H67" s="21"/>
      <c r="I67" s="21"/>
      <c r="J67" s="30"/>
      <c r="K67" s="31"/>
    </row>
    <row r="68" spans="1:11" s="2" customFormat="1" ht="54" customHeight="1" x14ac:dyDescent="0.45">
      <c r="A68" s="21">
        <v>60</v>
      </c>
      <c r="B68" s="24" t="s">
        <v>193</v>
      </c>
      <c r="C68" s="21">
        <v>19</v>
      </c>
      <c r="D68" s="34" t="s">
        <v>32</v>
      </c>
      <c r="E68" s="21">
        <v>1</v>
      </c>
      <c r="F68" s="21">
        <f>105000/1000</f>
        <v>105</v>
      </c>
      <c r="G68" s="21"/>
      <c r="H68" s="21"/>
      <c r="I68" s="21"/>
      <c r="J68" s="30"/>
      <c r="K68" s="31"/>
    </row>
    <row r="69" spans="1:11" s="2" customFormat="1" ht="73.5" customHeight="1" x14ac:dyDescent="0.45">
      <c r="A69" s="21">
        <v>61</v>
      </c>
      <c r="B69" s="24" t="s">
        <v>194</v>
      </c>
      <c r="C69" s="21">
        <v>19</v>
      </c>
      <c r="D69" s="34" t="s">
        <v>32</v>
      </c>
      <c r="E69" s="21">
        <v>1</v>
      </c>
      <c r="F69" s="21">
        <f>50000/1000</f>
        <v>50</v>
      </c>
      <c r="G69" s="21"/>
      <c r="H69" s="21"/>
      <c r="I69" s="21"/>
      <c r="J69" s="30"/>
      <c r="K69" s="31"/>
    </row>
    <row r="70" spans="1:11" s="2" customFormat="1" ht="54" customHeight="1" x14ac:dyDescent="0.45">
      <c r="A70" s="21">
        <v>62</v>
      </c>
      <c r="B70" s="24" t="s">
        <v>195</v>
      </c>
      <c r="C70" s="21">
        <v>19</v>
      </c>
      <c r="D70" s="34" t="s">
        <v>32</v>
      </c>
      <c r="E70" s="21">
        <v>1</v>
      </c>
      <c r="F70" s="21">
        <f>115544.44/1000</f>
        <v>115.54444000000001</v>
      </c>
      <c r="G70" s="21"/>
      <c r="H70" s="21"/>
      <c r="I70" s="21"/>
      <c r="J70" s="30"/>
      <c r="K70" s="31"/>
    </row>
    <row r="71" spans="1:11" s="2" customFormat="1" ht="54" customHeight="1" x14ac:dyDescent="0.45">
      <c r="A71" s="21">
        <v>63</v>
      </c>
      <c r="B71" s="24" t="s">
        <v>282</v>
      </c>
      <c r="C71" s="22">
        <v>19</v>
      </c>
      <c r="D71" s="22" t="s">
        <v>32</v>
      </c>
      <c r="E71" s="22">
        <v>1</v>
      </c>
      <c r="F71" s="21">
        <f>1051524/1000</f>
        <v>1051.5239999999999</v>
      </c>
      <c r="G71" s="22"/>
      <c r="H71" s="22"/>
      <c r="I71" s="22"/>
      <c r="J71" s="22"/>
      <c r="K71" s="22"/>
    </row>
    <row r="72" spans="1:11" s="2" customFormat="1" ht="70.5" customHeight="1" x14ac:dyDescent="0.45">
      <c r="A72" s="21">
        <v>64</v>
      </c>
      <c r="B72" s="24" t="s">
        <v>395</v>
      </c>
      <c r="C72" s="21">
        <v>20</v>
      </c>
      <c r="D72" s="34" t="s">
        <v>32</v>
      </c>
      <c r="E72" s="21">
        <v>1</v>
      </c>
      <c r="F72" s="21">
        <f>(45523+200000)/1000</f>
        <v>245.523</v>
      </c>
      <c r="G72" s="21"/>
      <c r="H72" s="21"/>
      <c r="I72" s="21"/>
      <c r="J72" s="30"/>
      <c r="K72" s="31"/>
    </row>
    <row r="73" spans="1:11" s="2" customFormat="1" ht="54" customHeight="1" x14ac:dyDescent="0.45">
      <c r="A73" s="21">
        <v>65</v>
      </c>
      <c r="B73" s="24" t="s">
        <v>196</v>
      </c>
      <c r="C73" s="21">
        <v>20</v>
      </c>
      <c r="D73" s="34" t="s">
        <v>32</v>
      </c>
      <c r="E73" s="21">
        <v>1</v>
      </c>
      <c r="F73" s="21">
        <f t="shared" ref="F73:F77" si="2">45523/1000</f>
        <v>45.523000000000003</v>
      </c>
      <c r="G73" s="21"/>
      <c r="H73" s="21"/>
      <c r="I73" s="21"/>
      <c r="J73" s="30"/>
      <c r="K73" s="31"/>
    </row>
    <row r="74" spans="1:11" s="2" customFormat="1" ht="54" customHeight="1" x14ac:dyDescent="0.45">
      <c r="A74" s="21">
        <v>66</v>
      </c>
      <c r="B74" s="24" t="s">
        <v>197</v>
      </c>
      <c r="C74" s="21">
        <v>20</v>
      </c>
      <c r="D74" s="34" t="s">
        <v>32</v>
      </c>
      <c r="E74" s="21">
        <v>1</v>
      </c>
      <c r="F74" s="21">
        <f t="shared" si="2"/>
        <v>45.523000000000003</v>
      </c>
      <c r="G74" s="21"/>
      <c r="H74" s="21"/>
      <c r="I74" s="21"/>
      <c r="J74" s="30"/>
      <c r="K74" s="31"/>
    </row>
    <row r="75" spans="1:11" s="2" customFormat="1" ht="54" customHeight="1" x14ac:dyDescent="0.45">
      <c r="A75" s="21">
        <v>67</v>
      </c>
      <c r="B75" s="24" t="s">
        <v>198</v>
      </c>
      <c r="C75" s="21">
        <v>20</v>
      </c>
      <c r="D75" s="34" t="s">
        <v>32</v>
      </c>
      <c r="E75" s="21">
        <v>1</v>
      </c>
      <c r="F75" s="21">
        <f t="shared" si="2"/>
        <v>45.523000000000003</v>
      </c>
      <c r="G75" s="21"/>
      <c r="H75" s="21"/>
      <c r="I75" s="21"/>
      <c r="J75" s="30"/>
      <c r="K75" s="31"/>
    </row>
    <row r="76" spans="1:11" s="2" customFormat="1" ht="54" customHeight="1" x14ac:dyDescent="0.45">
      <c r="A76" s="21">
        <v>68</v>
      </c>
      <c r="B76" s="24" t="s">
        <v>199</v>
      </c>
      <c r="C76" s="21">
        <v>20</v>
      </c>
      <c r="D76" s="34" t="s">
        <v>32</v>
      </c>
      <c r="E76" s="21">
        <v>1</v>
      </c>
      <c r="F76" s="21">
        <f t="shared" si="2"/>
        <v>45.523000000000003</v>
      </c>
      <c r="G76" s="21"/>
      <c r="H76" s="21"/>
      <c r="I76" s="21"/>
      <c r="J76" s="30"/>
      <c r="K76" s="31"/>
    </row>
    <row r="77" spans="1:11" s="2" customFormat="1" ht="54" customHeight="1" x14ac:dyDescent="0.45">
      <c r="A77" s="21">
        <v>69</v>
      </c>
      <c r="B77" s="24" t="s">
        <v>200</v>
      </c>
      <c r="C77" s="21">
        <v>20</v>
      </c>
      <c r="D77" s="34" t="s">
        <v>32</v>
      </c>
      <c r="E77" s="21">
        <v>1</v>
      </c>
      <c r="F77" s="21">
        <f t="shared" si="2"/>
        <v>45.523000000000003</v>
      </c>
      <c r="G77" s="21"/>
      <c r="H77" s="21"/>
      <c r="I77" s="21"/>
      <c r="J77" s="30"/>
      <c r="K77" s="31"/>
    </row>
    <row r="78" spans="1:11" s="2" customFormat="1" ht="24" customHeight="1" x14ac:dyDescent="0.45">
      <c r="A78" s="196" t="s">
        <v>17</v>
      </c>
      <c r="B78" s="196"/>
      <c r="C78" s="196"/>
      <c r="D78" s="196"/>
      <c r="E78" s="196"/>
      <c r="F78" s="27"/>
      <c r="G78" s="27"/>
      <c r="H78" s="27"/>
      <c r="I78" s="27"/>
      <c r="J78" s="27"/>
      <c r="K78" s="27"/>
    </row>
    <row r="79" spans="1:11" s="2" customFormat="1" ht="27" customHeight="1" x14ac:dyDescent="0.45">
      <c r="A79" s="194" t="s">
        <v>34</v>
      </c>
      <c r="B79" s="195"/>
      <c r="C79" s="195"/>
      <c r="D79" s="195"/>
      <c r="E79" s="195"/>
      <c r="F79" s="86"/>
      <c r="G79" s="86"/>
      <c r="H79" s="86"/>
      <c r="I79" s="86"/>
      <c r="J79" s="86"/>
      <c r="K79" s="87"/>
    </row>
    <row r="80" spans="1:11" s="2" customFormat="1" ht="51.75" customHeight="1" x14ac:dyDescent="0.45">
      <c r="A80" s="21">
        <v>1</v>
      </c>
      <c r="B80" s="32" t="s">
        <v>33</v>
      </c>
      <c r="C80" s="22">
        <v>1</v>
      </c>
      <c r="D80" s="22" t="s">
        <v>18</v>
      </c>
      <c r="E80" s="22">
        <f>5*8</f>
        <v>40</v>
      </c>
      <c r="F80" s="33">
        <f>58533/1000</f>
        <v>58.533000000000001</v>
      </c>
      <c r="G80" s="22"/>
      <c r="H80" s="22"/>
      <c r="I80" s="22"/>
      <c r="J80" s="22"/>
      <c r="K80" s="22"/>
    </row>
    <row r="81" spans="1:11" s="2" customFormat="1" ht="44.25" customHeight="1" x14ac:dyDescent="0.45">
      <c r="A81" s="21">
        <v>2</v>
      </c>
      <c r="B81" s="25" t="s">
        <v>36</v>
      </c>
      <c r="C81" s="22">
        <v>1</v>
      </c>
      <c r="D81" s="22" t="s">
        <v>32</v>
      </c>
      <c r="E81" s="22">
        <v>1</v>
      </c>
      <c r="F81" s="21">
        <f>50000/1000</f>
        <v>50</v>
      </c>
      <c r="G81" s="22"/>
      <c r="H81" s="22"/>
      <c r="I81" s="22"/>
      <c r="J81" s="22"/>
      <c r="K81" s="22"/>
    </row>
    <row r="82" spans="1:11" s="2" customFormat="1" ht="129" customHeight="1" x14ac:dyDescent="0.45">
      <c r="A82" s="21">
        <v>3</v>
      </c>
      <c r="B82" s="35" t="s">
        <v>151</v>
      </c>
      <c r="C82" s="22">
        <v>5</v>
      </c>
      <c r="D82" s="22" t="s">
        <v>32</v>
      </c>
      <c r="E82" s="22">
        <v>200</v>
      </c>
      <c r="F82" s="21">
        <f>100000/1000</f>
        <v>100</v>
      </c>
      <c r="G82" s="22"/>
      <c r="H82" s="22"/>
      <c r="I82" s="22"/>
      <c r="J82" s="22"/>
      <c r="K82" s="22"/>
    </row>
    <row r="83" spans="1:11" s="2" customFormat="1" ht="89.25" customHeight="1" x14ac:dyDescent="0.45">
      <c r="A83" s="21">
        <v>4</v>
      </c>
      <c r="B83" s="32" t="s">
        <v>155</v>
      </c>
      <c r="C83" s="21">
        <v>6</v>
      </c>
      <c r="D83" s="34" t="s">
        <v>32</v>
      </c>
      <c r="E83" s="21">
        <v>1</v>
      </c>
      <c r="F83" s="21">
        <f>50000/1000</f>
        <v>50</v>
      </c>
      <c r="G83" s="22"/>
      <c r="H83" s="22"/>
      <c r="I83" s="22"/>
      <c r="J83" s="22"/>
      <c r="K83" s="22"/>
    </row>
    <row r="84" spans="1:11" s="2" customFormat="1" ht="56.25" customHeight="1" x14ac:dyDescent="0.45">
      <c r="A84" s="21">
        <v>5</v>
      </c>
      <c r="B84" s="24" t="s">
        <v>159</v>
      </c>
      <c r="C84" s="21">
        <v>7</v>
      </c>
      <c r="D84" s="90" t="s">
        <v>32</v>
      </c>
      <c r="E84" s="21">
        <v>1</v>
      </c>
      <c r="F84" s="33">
        <f>50000/1000</f>
        <v>50</v>
      </c>
      <c r="G84" s="22">
        <v>154</v>
      </c>
      <c r="H84" s="22">
        <v>239</v>
      </c>
      <c r="I84" s="22">
        <v>37</v>
      </c>
      <c r="J84" s="22">
        <v>234</v>
      </c>
      <c r="K84" s="22"/>
    </row>
    <row r="85" spans="1:11" s="2" customFormat="1" ht="60.75" customHeight="1" x14ac:dyDescent="0.45">
      <c r="A85" s="21">
        <v>6</v>
      </c>
      <c r="B85" s="24" t="s">
        <v>444</v>
      </c>
      <c r="C85" s="21">
        <v>7</v>
      </c>
      <c r="D85" s="90" t="s">
        <v>32</v>
      </c>
      <c r="E85" s="21">
        <v>1</v>
      </c>
      <c r="F85" s="33">
        <f>50000/1000</f>
        <v>50</v>
      </c>
      <c r="G85" s="22">
        <v>154</v>
      </c>
      <c r="H85" s="22">
        <v>239</v>
      </c>
      <c r="I85" s="22">
        <v>37</v>
      </c>
      <c r="J85" s="22">
        <v>234</v>
      </c>
      <c r="K85" s="22"/>
    </row>
    <row r="86" spans="1:11" s="2" customFormat="1" ht="80.25" customHeight="1" x14ac:dyDescent="0.45">
      <c r="A86" s="21">
        <v>7</v>
      </c>
      <c r="B86" s="35" t="s">
        <v>161</v>
      </c>
      <c r="C86" s="22">
        <v>8</v>
      </c>
      <c r="D86" s="22" t="s">
        <v>32</v>
      </c>
      <c r="E86" s="22">
        <v>150</v>
      </c>
      <c r="F86" s="21">
        <f>100000/1000</f>
        <v>100</v>
      </c>
      <c r="G86" s="22"/>
      <c r="H86" s="22"/>
      <c r="I86" s="22"/>
      <c r="J86" s="22"/>
      <c r="K86" s="22"/>
    </row>
    <row r="87" spans="1:11" s="2" customFormat="1" ht="44.25" customHeight="1" x14ac:dyDescent="0.45">
      <c r="A87" s="21">
        <v>8</v>
      </c>
      <c r="B87" s="32" t="s">
        <v>166</v>
      </c>
      <c r="C87" s="21">
        <v>10</v>
      </c>
      <c r="D87" s="34" t="s">
        <v>32</v>
      </c>
      <c r="E87" s="21">
        <v>1</v>
      </c>
      <c r="F87" s="33">
        <f>80000/1000</f>
        <v>80</v>
      </c>
      <c r="G87" s="22"/>
      <c r="H87" s="22"/>
      <c r="I87" s="22"/>
      <c r="J87" s="22"/>
      <c r="K87" s="22"/>
    </row>
    <row r="88" spans="1:11" s="2" customFormat="1" ht="55.5" customHeight="1" x14ac:dyDescent="0.45">
      <c r="A88" s="21">
        <v>9</v>
      </c>
      <c r="B88" s="35" t="s">
        <v>174</v>
      </c>
      <c r="C88" s="22">
        <v>13</v>
      </c>
      <c r="D88" s="90" t="s">
        <v>32</v>
      </c>
      <c r="E88" s="21">
        <v>1</v>
      </c>
      <c r="F88" s="33">
        <v>50</v>
      </c>
      <c r="G88" s="22"/>
      <c r="H88" s="22"/>
      <c r="I88" s="22"/>
      <c r="J88" s="22"/>
      <c r="K88" s="22"/>
    </row>
    <row r="89" spans="1:11" s="2" customFormat="1" ht="56.25" customHeight="1" x14ac:dyDescent="0.45">
      <c r="A89" s="21">
        <v>10</v>
      </c>
      <c r="B89" s="32" t="s">
        <v>179</v>
      </c>
      <c r="C89" s="21">
        <v>14</v>
      </c>
      <c r="D89" s="90" t="s">
        <v>32</v>
      </c>
      <c r="E89" s="21">
        <v>1</v>
      </c>
      <c r="F89" s="21">
        <f>50000/1000</f>
        <v>50</v>
      </c>
      <c r="G89" s="22"/>
      <c r="H89" s="22"/>
      <c r="I89" s="22"/>
      <c r="J89" s="22"/>
      <c r="K89" s="22"/>
    </row>
    <row r="90" spans="1:11" s="2" customFormat="1" ht="44.25" customHeight="1" x14ac:dyDescent="0.45">
      <c r="A90" s="21">
        <v>11</v>
      </c>
      <c r="B90" s="25" t="s">
        <v>182</v>
      </c>
      <c r="C90" s="22">
        <v>15</v>
      </c>
      <c r="D90" s="90" t="s">
        <v>32</v>
      </c>
      <c r="E90" s="21">
        <v>1</v>
      </c>
      <c r="F90" s="21">
        <v>100</v>
      </c>
      <c r="G90" s="22"/>
      <c r="H90" s="22"/>
      <c r="I90" s="22"/>
      <c r="J90" s="22"/>
      <c r="K90" s="22"/>
    </row>
    <row r="91" spans="1:11" s="2" customFormat="1" ht="53.25" customHeight="1" x14ac:dyDescent="0.45">
      <c r="A91" s="21">
        <v>12</v>
      </c>
      <c r="B91" s="25" t="s">
        <v>183</v>
      </c>
      <c r="C91" s="22">
        <v>15</v>
      </c>
      <c r="D91" s="90" t="s">
        <v>32</v>
      </c>
      <c r="E91" s="21">
        <v>1</v>
      </c>
      <c r="F91" s="21">
        <v>50</v>
      </c>
      <c r="G91" s="22"/>
      <c r="H91" s="22"/>
      <c r="I91" s="22"/>
      <c r="J91" s="22"/>
      <c r="K91" s="22"/>
    </row>
    <row r="92" spans="1:11" s="2" customFormat="1" ht="54.75" customHeight="1" x14ac:dyDescent="0.45">
      <c r="A92" s="21">
        <v>13</v>
      </c>
      <c r="B92" s="25" t="s">
        <v>445</v>
      </c>
      <c r="C92" s="22">
        <v>16</v>
      </c>
      <c r="D92" s="90" t="s">
        <v>32</v>
      </c>
      <c r="E92" s="21">
        <v>1</v>
      </c>
      <c r="F92" s="21">
        <f>50000/1000</f>
        <v>50</v>
      </c>
      <c r="G92" s="22"/>
      <c r="H92" s="22"/>
      <c r="I92" s="22"/>
      <c r="J92" s="22"/>
      <c r="K92" s="22"/>
    </row>
    <row r="93" spans="1:11" s="2" customFormat="1" ht="50.25" customHeight="1" x14ac:dyDescent="0.45">
      <c r="A93" s="21">
        <v>14</v>
      </c>
      <c r="B93" s="25" t="s">
        <v>446</v>
      </c>
      <c r="C93" s="22">
        <v>16</v>
      </c>
      <c r="D93" s="90" t="s">
        <v>32</v>
      </c>
      <c r="E93" s="21">
        <v>1</v>
      </c>
      <c r="F93" s="21">
        <f>90000/1000</f>
        <v>90</v>
      </c>
      <c r="G93" s="22"/>
      <c r="H93" s="22"/>
      <c r="I93" s="22"/>
      <c r="J93" s="22"/>
      <c r="K93" s="22"/>
    </row>
    <row r="94" spans="1:11" s="2" customFormat="1" ht="44.25" customHeight="1" x14ac:dyDescent="0.45">
      <c r="A94" s="21">
        <v>15</v>
      </c>
      <c r="B94" s="25" t="s">
        <v>185</v>
      </c>
      <c r="C94" s="22">
        <v>17</v>
      </c>
      <c r="D94" s="22" t="s">
        <v>32</v>
      </c>
      <c r="E94" s="22">
        <v>1</v>
      </c>
      <c r="F94" s="21">
        <f>150000/1000</f>
        <v>150</v>
      </c>
      <c r="G94" s="22"/>
      <c r="H94" s="22"/>
      <c r="I94" s="22"/>
      <c r="J94" s="22"/>
      <c r="K94" s="22"/>
    </row>
    <row r="95" spans="1:11" s="2" customFormat="1" ht="23.25" customHeight="1" x14ac:dyDescent="0.45">
      <c r="A95" s="175" t="s">
        <v>14</v>
      </c>
      <c r="B95" s="175"/>
      <c r="C95" s="175"/>
      <c r="D95" s="175"/>
      <c r="E95" s="175"/>
      <c r="F95" s="20"/>
      <c r="G95" s="27"/>
      <c r="H95" s="27"/>
      <c r="I95" s="27"/>
      <c r="J95" s="27"/>
      <c r="K95" s="27"/>
    </row>
    <row r="96" spans="1:11" s="2" customFormat="1" ht="22.5" customHeight="1" x14ac:dyDescent="0.45">
      <c r="A96" s="200" t="s">
        <v>20</v>
      </c>
      <c r="B96" s="200"/>
      <c r="C96" s="200"/>
      <c r="D96" s="200"/>
      <c r="E96" s="200"/>
      <c r="F96" s="88"/>
      <c r="G96" s="88"/>
      <c r="H96" s="88"/>
      <c r="I96" s="88"/>
      <c r="J96" s="88"/>
      <c r="K96" s="88"/>
    </row>
    <row r="97" spans="1:11" s="2" customFormat="1" ht="37.5" customHeight="1" x14ac:dyDescent="0.45">
      <c r="A97" s="21"/>
      <c r="B97" s="63"/>
      <c r="C97" s="22"/>
      <c r="D97" s="22"/>
      <c r="E97" s="22"/>
      <c r="F97" s="21"/>
      <c r="G97" s="22"/>
      <c r="H97" s="22"/>
      <c r="I97" s="22"/>
      <c r="J97" s="22"/>
      <c r="K97" s="22"/>
    </row>
    <row r="98" spans="1:11" s="2" customFormat="1" ht="30.75" customHeight="1" x14ac:dyDescent="0.45">
      <c r="A98" s="175" t="s">
        <v>14</v>
      </c>
      <c r="B98" s="175"/>
      <c r="C98" s="175"/>
      <c r="D98" s="175"/>
      <c r="E98" s="175"/>
      <c r="F98" s="20">
        <f>SUM(F9:F97)</f>
        <v>10314.511439999995</v>
      </c>
      <c r="G98" s="27"/>
      <c r="H98" s="27"/>
      <c r="I98" s="95"/>
      <c r="J98" s="95"/>
      <c r="K98" s="95"/>
    </row>
    <row r="99" spans="1:11" x14ac:dyDescent="0.5">
      <c r="A99" s="11"/>
      <c r="D99" s="3"/>
      <c r="E99" s="8"/>
      <c r="F99" s="12"/>
      <c r="G99" s="9"/>
      <c r="H99" s="9"/>
      <c r="I99" s="9"/>
      <c r="J99" s="9"/>
      <c r="K99" s="12"/>
    </row>
    <row r="100" spans="1:11" s="6" customFormat="1" x14ac:dyDescent="0.5">
      <c r="A100" s="11"/>
      <c r="D100" s="4"/>
      <c r="E100" s="5"/>
      <c r="F100" s="5"/>
      <c r="G100" s="5"/>
      <c r="H100" s="5"/>
      <c r="I100" s="5"/>
      <c r="J100" s="5"/>
      <c r="K100" s="3"/>
    </row>
  </sheetData>
  <mergeCells count="20">
    <mergeCell ref="A1:K1"/>
    <mergeCell ref="A2:K2"/>
    <mergeCell ref="A3:K3"/>
    <mergeCell ref="A4:A6"/>
    <mergeCell ref="B4:B6"/>
    <mergeCell ref="C4:C6"/>
    <mergeCell ref="D4:D6"/>
    <mergeCell ref="E4:F4"/>
    <mergeCell ref="G4:J4"/>
    <mergeCell ref="K4:K6"/>
    <mergeCell ref="E5:E6"/>
    <mergeCell ref="F5:F6"/>
    <mergeCell ref="G5:H5"/>
    <mergeCell ref="I5:J5"/>
    <mergeCell ref="A8:K8"/>
    <mergeCell ref="A98:E98"/>
    <mergeCell ref="A78:E78"/>
    <mergeCell ref="A95:E95"/>
    <mergeCell ref="A79:E79"/>
    <mergeCell ref="A96:E96"/>
  </mergeCells>
  <pageMargins left="0.25" right="0.25" top="0.53" bottom="0.45" header="0.3" footer="0.21"/>
  <pageSetup paperSize="9" scale="70" orientation="portrait" r:id="rId1"/>
  <headerFooter>
    <oddFooter xml:space="preserve">&amp;C &amp;R                    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tabSelected="1" view="pageBreakPreview" zoomScale="82" zoomScaleNormal="78" zoomScaleSheetLayoutView="82" workbookViewId="0">
      <selection activeCell="I100" sqref="I100"/>
    </sheetView>
  </sheetViews>
  <sheetFormatPr defaultColWidth="9.140625" defaultRowHeight="24" x14ac:dyDescent="0.5"/>
  <cols>
    <col min="1" max="1" width="6" style="10" customWidth="1"/>
    <col min="2" max="2" width="53.140625" style="1" customWidth="1"/>
    <col min="3" max="3" width="6.5703125" style="1" customWidth="1"/>
    <col min="4" max="4" width="8.42578125" style="7" customWidth="1"/>
    <col min="5" max="5" width="9.28515625" style="1" customWidth="1"/>
    <col min="6" max="6" width="15" style="1" customWidth="1"/>
    <col min="7" max="7" width="9.85546875" style="1" customWidth="1"/>
    <col min="8" max="8" width="7.140625" style="1" customWidth="1"/>
    <col min="9" max="9" width="9.42578125" style="1" customWidth="1"/>
    <col min="10" max="10" width="7.42578125" style="1" customWidth="1"/>
    <col min="11" max="11" width="8.140625" style="13" customWidth="1"/>
    <col min="12" max="16384" width="9.140625" style="1"/>
  </cols>
  <sheetData>
    <row r="1" spans="1:11" ht="52.5" customHeight="1" x14ac:dyDescent="0.5">
      <c r="A1" s="176" t="s">
        <v>13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ht="32.25" customHeight="1" x14ac:dyDescent="0.5">
      <c r="A2" s="201" t="s">
        <v>11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</row>
    <row r="3" spans="1:11" ht="50.25" customHeight="1" x14ac:dyDescent="0.5">
      <c r="A3" s="178" t="s">
        <v>461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</row>
    <row r="4" spans="1:11" s="2" customFormat="1" ht="28.5" customHeight="1" x14ac:dyDescent="0.45">
      <c r="A4" s="179" t="s">
        <v>4</v>
      </c>
      <c r="B4" s="180" t="s">
        <v>5</v>
      </c>
      <c r="C4" s="179" t="s">
        <v>12</v>
      </c>
      <c r="D4" s="179" t="s">
        <v>0</v>
      </c>
      <c r="E4" s="180" t="s">
        <v>6</v>
      </c>
      <c r="F4" s="180"/>
      <c r="G4" s="180" t="s">
        <v>3</v>
      </c>
      <c r="H4" s="180"/>
      <c r="I4" s="180"/>
      <c r="J4" s="180"/>
      <c r="K4" s="179" t="s">
        <v>1</v>
      </c>
    </row>
    <row r="5" spans="1:11" s="2" customFormat="1" ht="20.25" customHeight="1" x14ac:dyDescent="0.45">
      <c r="A5" s="179"/>
      <c r="B5" s="180"/>
      <c r="C5" s="179"/>
      <c r="D5" s="179"/>
      <c r="E5" s="180" t="s">
        <v>7</v>
      </c>
      <c r="F5" s="186" t="s">
        <v>15</v>
      </c>
      <c r="G5" s="180" t="s">
        <v>8</v>
      </c>
      <c r="H5" s="180"/>
      <c r="I5" s="180" t="s">
        <v>2</v>
      </c>
      <c r="J5" s="180"/>
      <c r="K5" s="179"/>
    </row>
    <row r="6" spans="1:11" s="16" customFormat="1" ht="43.15" customHeight="1" x14ac:dyDescent="0.45">
      <c r="A6" s="179"/>
      <c r="B6" s="180"/>
      <c r="C6" s="179"/>
      <c r="D6" s="179"/>
      <c r="E6" s="180"/>
      <c r="F6" s="186"/>
      <c r="G6" s="19" t="s">
        <v>9</v>
      </c>
      <c r="H6" s="19" t="s">
        <v>10</v>
      </c>
      <c r="I6" s="19" t="s">
        <v>9</v>
      </c>
      <c r="J6" s="19" t="s">
        <v>10</v>
      </c>
      <c r="K6" s="179"/>
    </row>
    <row r="7" spans="1:11" s="2" customFormat="1" ht="27.75" customHeight="1" x14ac:dyDescent="0.45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1">
        <v>10</v>
      </c>
      <c r="K7" s="21">
        <v>11</v>
      </c>
    </row>
    <row r="8" spans="1:11" s="2" customFormat="1" ht="29.25" customHeight="1" x14ac:dyDescent="0.45">
      <c r="A8" s="189" t="s">
        <v>19</v>
      </c>
      <c r="B8" s="190"/>
      <c r="C8" s="190"/>
      <c r="D8" s="190"/>
      <c r="E8" s="190"/>
      <c r="F8" s="190"/>
      <c r="G8" s="190"/>
      <c r="H8" s="190"/>
      <c r="I8" s="190"/>
      <c r="J8" s="190"/>
      <c r="K8" s="191"/>
    </row>
    <row r="9" spans="1:11" s="14" customFormat="1" ht="57.75" customHeight="1" x14ac:dyDescent="0.45">
      <c r="A9" s="22">
        <v>1</v>
      </c>
      <c r="B9" s="23" t="s">
        <v>75</v>
      </c>
      <c r="C9" s="22">
        <v>3</v>
      </c>
      <c r="D9" s="22" t="s">
        <v>32</v>
      </c>
      <c r="E9" s="22">
        <v>1</v>
      </c>
      <c r="F9" s="22">
        <f>100000/1000</f>
        <v>100</v>
      </c>
      <c r="G9" s="22"/>
      <c r="H9" s="22"/>
      <c r="I9" s="22"/>
      <c r="J9" s="22"/>
      <c r="K9" s="22"/>
    </row>
    <row r="10" spans="1:11" s="14" customFormat="1" ht="51.75" customHeight="1" x14ac:dyDescent="0.45">
      <c r="A10" s="22">
        <v>2</v>
      </c>
      <c r="B10" s="23" t="s">
        <v>76</v>
      </c>
      <c r="C10" s="22">
        <v>3</v>
      </c>
      <c r="D10" s="22" t="s">
        <v>32</v>
      </c>
      <c r="E10" s="22">
        <v>1</v>
      </c>
      <c r="F10" s="22">
        <f>80000/1000</f>
        <v>80</v>
      </c>
      <c r="G10" s="22"/>
      <c r="H10" s="22"/>
      <c r="I10" s="22"/>
      <c r="J10" s="22"/>
      <c r="K10" s="22"/>
    </row>
    <row r="11" spans="1:11" s="14" customFormat="1" ht="71.25" customHeight="1" x14ac:dyDescent="0.45">
      <c r="A11" s="22">
        <v>3</v>
      </c>
      <c r="B11" s="23" t="s">
        <v>420</v>
      </c>
      <c r="C11" s="22">
        <v>2</v>
      </c>
      <c r="D11" s="22" t="s">
        <v>32</v>
      </c>
      <c r="E11" s="22">
        <v>1</v>
      </c>
      <c r="F11" s="22">
        <v>200</v>
      </c>
      <c r="G11" s="22"/>
      <c r="H11" s="22"/>
      <c r="I11" s="22"/>
      <c r="J11" s="22"/>
      <c r="K11" s="22"/>
    </row>
    <row r="12" spans="1:11" s="14" customFormat="1" ht="71.25" customHeight="1" x14ac:dyDescent="0.45">
      <c r="A12" s="22">
        <v>4</v>
      </c>
      <c r="B12" s="23" t="s">
        <v>478</v>
      </c>
      <c r="C12" s="22">
        <v>4</v>
      </c>
      <c r="D12" s="22" t="s">
        <v>32</v>
      </c>
      <c r="E12" s="22">
        <v>1</v>
      </c>
      <c r="F12" s="22">
        <f>200000/1000</f>
        <v>200</v>
      </c>
      <c r="G12" s="22"/>
      <c r="H12" s="22"/>
      <c r="I12" s="22"/>
      <c r="J12" s="22"/>
      <c r="K12" s="22"/>
    </row>
    <row r="13" spans="1:11" s="14" customFormat="1" ht="71.25" customHeight="1" x14ac:dyDescent="0.45">
      <c r="A13" s="22">
        <v>5</v>
      </c>
      <c r="B13" s="23" t="s">
        <v>479</v>
      </c>
      <c r="C13" s="22">
        <v>4</v>
      </c>
      <c r="D13" s="22" t="s">
        <v>32</v>
      </c>
      <c r="E13" s="22">
        <v>1</v>
      </c>
      <c r="F13" s="22">
        <f>140000/1000</f>
        <v>140</v>
      </c>
      <c r="G13" s="22"/>
      <c r="H13" s="22"/>
      <c r="I13" s="22"/>
      <c r="J13" s="22"/>
      <c r="K13" s="22"/>
    </row>
    <row r="14" spans="1:11" s="14" customFormat="1" ht="48.75" customHeight="1" x14ac:dyDescent="0.45">
      <c r="A14" s="22">
        <v>6</v>
      </c>
      <c r="B14" s="63" t="s">
        <v>83</v>
      </c>
      <c r="C14" s="22">
        <v>5</v>
      </c>
      <c r="D14" s="61" t="s">
        <v>32</v>
      </c>
      <c r="E14" s="22">
        <v>1</v>
      </c>
      <c r="F14" s="22">
        <f>150000/1000</f>
        <v>150</v>
      </c>
      <c r="G14" s="22"/>
      <c r="H14" s="22"/>
      <c r="I14" s="22"/>
      <c r="J14" s="22"/>
      <c r="K14" s="22"/>
    </row>
    <row r="15" spans="1:11" s="14" customFormat="1" ht="48.75" customHeight="1" x14ac:dyDescent="0.45">
      <c r="A15" s="22">
        <v>7</v>
      </c>
      <c r="B15" s="93" t="s">
        <v>472</v>
      </c>
      <c r="C15" s="22">
        <v>5</v>
      </c>
      <c r="D15" s="91" t="s">
        <v>47</v>
      </c>
      <c r="E15" s="29">
        <f>250/1000</f>
        <v>0.25</v>
      </c>
      <c r="F15" s="22">
        <f>150000/1000</f>
        <v>150</v>
      </c>
      <c r="G15" s="22"/>
      <c r="H15" s="22"/>
      <c r="I15" s="22"/>
      <c r="J15" s="22"/>
      <c r="K15" s="22"/>
    </row>
    <row r="16" spans="1:11" s="14" customFormat="1" ht="54" customHeight="1" x14ac:dyDescent="0.45">
      <c r="A16" s="22">
        <v>8</v>
      </c>
      <c r="B16" s="25" t="s">
        <v>92</v>
      </c>
      <c r="C16" s="22">
        <v>7</v>
      </c>
      <c r="D16" s="22" t="s">
        <v>16</v>
      </c>
      <c r="E16" s="22">
        <v>1</v>
      </c>
      <c r="F16" s="22">
        <v>100</v>
      </c>
      <c r="G16" s="22">
        <v>211</v>
      </c>
      <c r="H16" s="22">
        <v>298</v>
      </c>
      <c r="I16" s="22">
        <v>21</v>
      </c>
      <c r="J16" s="22">
        <v>29</v>
      </c>
      <c r="K16" s="22"/>
    </row>
    <row r="17" spans="1:11" s="14" customFormat="1" ht="52.5" customHeight="1" x14ac:dyDescent="0.45">
      <c r="A17" s="22">
        <v>9</v>
      </c>
      <c r="B17" s="23" t="s">
        <v>101</v>
      </c>
      <c r="C17" s="22">
        <v>10</v>
      </c>
      <c r="D17" s="22" t="s">
        <v>16</v>
      </c>
      <c r="E17" s="22">
        <v>1</v>
      </c>
      <c r="F17" s="22">
        <f>50000/1000</f>
        <v>50</v>
      </c>
      <c r="G17" s="22"/>
      <c r="H17" s="22"/>
      <c r="I17" s="22"/>
      <c r="J17" s="22"/>
      <c r="K17" s="22"/>
    </row>
    <row r="18" spans="1:11" s="14" customFormat="1" ht="49.5" customHeight="1" x14ac:dyDescent="0.45">
      <c r="A18" s="22">
        <v>10</v>
      </c>
      <c r="B18" s="63" t="s">
        <v>425</v>
      </c>
      <c r="C18" s="22">
        <v>11</v>
      </c>
      <c r="D18" s="22" t="s">
        <v>32</v>
      </c>
      <c r="E18" s="22">
        <v>1</v>
      </c>
      <c r="F18" s="22">
        <v>80</v>
      </c>
      <c r="G18" s="22"/>
      <c r="H18" s="22"/>
      <c r="I18" s="22"/>
      <c r="J18" s="22"/>
      <c r="K18" s="22"/>
    </row>
    <row r="19" spans="1:11" s="14" customFormat="1" ht="49.5" customHeight="1" x14ac:dyDescent="0.45">
      <c r="A19" s="22">
        <v>11</v>
      </c>
      <c r="B19" s="63" t="s">
        <v>426</v>
      </c>
      <c r="C19" s="22">
        <v>12</v>
      </c>
      <c r="D19" s="22" t="s">
        <v>32</v>
      </c>
      <c r="E19" s="22">
        <v>1</v>
      </c>
      <c r="F19" s="22">
        <f>150000/1000</f>
        <v>150</v>
      </c>
      <c r="G19" s="22"/>
      <c r="H19" s="22"/>
      <c r="I19" s="22"/>
      <c r="J19" s="22"/>
      <c r="K19" s="22"/>
    </row>
    <row r="20" spans="1:11" s="14" customFormat="1" ht="51" customHeight="1" x14ac:dyDescent="0.45">
      <c r="A20" s="22">
        <v>12</v>
      </c>
      <c r="B20" s="23" t="s">
        <v>110</v>
      </c>
      <c r="C20" s="22">
        <v>14</v>
      </c>
      <c r="D20" s="22" t="s">
        <v>32</v>
      </c>
      <c r="E20" s="22">
        <v>1</v>
      </c>
      <c r="F20" s="26">
        <f>100000/1000</f>
        <v>100</v>
      </c>
      <c r="G20" s="22"/>
      <c r="H20" s="22"/>
      <c r="I20" s="22"/>
      <c r="J20" s="22"/>
      <c r="K20" s="22"/>
    </row>
    <row r="21" spans="1:11" s="14" customFormat="1" ht="53.25" customHeight="1" x14ac:dyDescent="0.45">
      <c r="A21" s="22">
        <v>13</v>
      </c>
      <c r="B21" s="23" t="s">
        <v>111</v>
      </c>
      <c r="C21" s="22">
        <v>14</v>
      </c>
      <c r="D21" s="22" t="s">
        <v>32</v>
      </c>
      <c r="E21" s="22">
        <v>4</v>
      </c>
      <c r="F21" s="26">
        <f>200000/1000</f>
        <v>200</v>
      </c>
      <c r="G21" s="22"/>
      <c r="H21" s="22"/>
      <c r="I21" s="22"/>
      <c r="J21" s="22"/>
      <c r="K21" s="22"/>
    </row>
    <row r="22" spans="1:11" s="14" customFormat="1" ht="51.75" customHeight="1" x14ac:dyDescent="0.45">
      <c r="A22" s="22">
        <v>14</v>
      </c>
      <c r="B22" s="63" t="s">
        <v>117</v>
      </c>
      <c r="C22" s="22">
        <v>16</v>
      </c>
      <c r="D22" s="61" t="s">
        <v>32</v>
      </c>
      <c r="E22" s="22">
        <v>200</v>
      </c>
      <c r="F22" s="22">
        <f>100000/1000</f>
        <v>100</v>
      </c>
      <c r="G22" s="22"/>
      <c r="H22" s="22"/>
      <c r="I22" s="22"/>
      <c r="J22" s="22"/>
      <c r="K22" s="22"/>
    </row>
    <row r="23" spans="1:11" s="14" customFormat="1" ht="81" customHeight="1" x14ac:dyDescent="0.45">
      <c r="A23" s="22">
        <v>15</v>
      </c>
      <c r="B23" s="63" t="s">
        <v>427</v>
      </c>
      <c r="C23" s="22">
        <v>16</v>
      </c>
      <c r="D23" s="22" t="s">
        <v>333</v>
      </c>
      <c r="E23" s="29">
        <f>500/1000</f>
        <v>0.5</v>
      </c>
      <c r="F23" s="21">
        <f>400000/1000</f>
        <v>400</v>
      </c>
      <c r="G23" s="22"/>
      <c r="H23" s="22"/>
      <c r="I23" s="22"/>
      <c r="J23" s="22"/>
      <c r="K23" s="22"/>
    </row>
    <row r="24" spans="1:11" s="14" customFormat="1" ht="55.5" customHeight="1" x14ac:dyDescent="0.45">
      <c r="A24" s="22">
        <v>16</v>
      </c>
      <c r="B24" s="63" t="s">
        <v>418</v>
      </c>
      <c r="C24" s="22">
        <v>1</v>
      </c>
      <c r="D24" s="22" t="s">
        <v>32</v>
      </c>
      <c r="E24" s="22">
        <v>1</v>
      </c>
      <c r="F24" s="21">
        <v>250</v>
      </c>
      <c r="G24" s="22"/>
      <c r="H24" s="22"/>
      <c r="I24" s="22"/>
      <c r="J24" s="22"/>
      <c r="K24" s="22"/>
    </row>
    <row r="25" spans="1:11" s="14" customFormat="1" ht="65.25" customHeight="1" x14ac:dyDescent="0.45">
      <c r="A25" s="22">
        <v>17</v>
      </c>
      <c r="B25" s="63" t="s">
        <v>419</v>
      </c>
      <c r="C25" s="22">
        <v>7</v>
      </c>
      <c r="D25" s="22" t="s">
        <v>18</v>
      </c>
      <c r="E25" s="22">
        <v>25</v>
      </c>
      <c r="F25" s="21">
        <f>100000/1000</f>
        <v>100</v>
      </c>
      <c r="G25" s="22">
        <v>129</v>
      </c>
      <c r="H25" s="22">
        <v>161</v>
      </c>
      <c r="I25" s="22">
        <v>23</v>
      </c>
      <c r="J25" s="22">
        <v>129</v>
      </c>
      <c r="K25" s="22"/>
    </row>
    <row r="26" spans="1:11" s="2" customFormat="1" ht="30.75" customHeight="1" x14ac:dyDescent="0.45">
      <c r="A26" s="196" t="s">
        <v>17</v>
      </c>
      <c r="B26" s="196"/>
      <c r="C26" s="196"/>
      <c r="D26" s="196"/>
      <c r="E26" s="196"/>
      <c r="F26" s="62"/>
      <c r="G26" s="62"/>
      <c r="H26" s="62"/>
      <c r="I26" s="62"/>
      <c r="J26" s="62"/>
      <c r="K26" s="62"/>
    </row>
    <row r="27" spans="1:11" s="2" customFormat="1" ht="28.5" customHeight="1" x14ac:dyDescent="0.45">
      <c r="A27" s="200" t="s">
        <v>21</v>
      </c>
      <c r="B27" s="200"/>
      <c r="C27" s="200"/>
      <c r="D27" s="200"/>
      <c r="E27" s="200"/>
      <c r="F27" s="88"/>
      <c r="G27" s="88"/>
      <c r="H27" s="88"/>
      <c r="I27" s="88"/>
      <c r="J27" s="88"/>
      <c r="K27" s="88"/>
    </row>
    <row r="28" spans="1:11" s="2" customFormat="1" ht="76.5" customHeight="1" x14ac:dyDescent="0.45">
      <c r="A28" s="21">
        <v>1</v>
      </c>
      <c r="B28" s="63" t="s">
        <v>448</v>
      </c>
      <c r="C28" s="22">
        <v>9</v>
      </c>
      <c r="D28" s="22" t="s">
        <v>32</v>
      </c>
      <c r="E28" s="22">
        <v>1</v>
      </c>
      <c r="F28" s="21">
        <f>50000/1000</f>
        <v>50</v>
      </c>
      <c r="G28" s="22"/>
      <c r="H28" s="22"/>
      <c r="I28" s="22"/>
      <c r="J28" s="22"/>
      <c r="K28" s="22"/>
    </row>
    <row r="29" spans="1:11" s="2" customFormat="1" ht="73.5" customHeight="1" x14ac:dyDescent="0.45">
      <c r="A29" s="21">
        <v>2</v>
      </c>
      <c r="B29" s="63" t="s">
        <v>428</v>
      </c>
      <c r="C29" s="22">
        <v>11</v>
      </c>
      <c r="D29" s="22" t="s">
        <v>32</v>
      </c>
      <c r="E29" s="22">
        <v>1</v>
      </c>
      <c r="F29" s="21">
        <v>30</v>
      </c>
      <c r="G29" s="22"/>
      <c r="H29" s="22"/>
      <c r="I29" s="22"/>
      <c r="J29" s="22"/>
      <c r="K29" s="22"/>
    </row>
    <row r="30" spans="1:11" s="2" customFormat="1" ht="77.25" customHeight="1" x14ac:dyDescent="0.45">
      <c r="A30" s="21">
        <v>3</v>
      </c>
      <c r="B30" s="63" t="s">
        <v>429</v>
      </c>
      <c r="C30" s="22">
        <v>16</v>
      </c>
      <c r="D30" s="22" t="s">
        <v>32</v>
      </c>
      <c r="E30" s="22">
        <v>1</v>
      </c>
      <c r="F30" s="21">
        <f>50000/1000</f>
        <v>50</v>
      </c>
      <c r="G30" s="22"/>
      <c r="H30" s="22"/>
      <c r="I30" s="22"/>
      <c r="J30" s="22"/>
      <c r="K30" s="22"/>
    </row>
    <row r="31" spans="1:11" s="2" customFormat="1" ht="25.5" customHeight="1" x14ac:dyDescent="0.45">
      <c r="A31" s="175" t="s">
        <v>14</v>
      </c>
      <c r="B31" s="175"/>
      <c r="C31" s="175"/>
      <c r="D31" s="175"/>
      <c r="E31" s="175"/>
      <c r="F31" s="59"/>
      <c r="G31" s="62"/>
      <c r="H31" s="62"/>
      <c r="I31" s="62"/>
      <c r="J31" s="62"/>
      <c r="K31" s="62"/>
    </row>
    <row r="32" spans="1:11" s="2" customFormat="1" ht="30.75" customHeight="1" x14ac:dyDescent="0.45">
      <c r="A32" s="200" t="s">
        <v>20</v>
      </c>
      <c r="B32" s="200"/>
      <c r="C32" s="200"/>
      <c r="D32" s="200"/>
      <c r="E32" s="200"/>
      <c r="F32" s="88"/>
      <c r="G32" s="88"/>
      <c r="H32" s="88"/>
      <c r="I32" s="88"/>
      <c r="J32" s="88"/>
      <c r="K32" s="88"/>
    </row>
    <row r="33" spans="1:11" s="2" customFormat="1" ht="75.75" customHeight="1" x14ac:dyDescent="0.45">
      <c r="A33" s="21">
        <v>1</v>
      </c>
      <c r="B33" s="63" t="s">
        <v>58</v>
      </c>
      <c r="C33" s="22">
        <v>1</v>
      </c>
      <c r="D33" s="63" t="s">
        <v>18</v>
      </c>
      <c r="E33" s="23">
        <v>30</v>
      </c>
      <c r="F33" s="22">
        <f>50000/1000</f>
        <v>50</v>
      </c>
      <c r="G33" s="63"/>
      <c r="H33" s="63"/>
      <c r="I33" s="63"/>
      <c r="J33" s="63"/>
      <c r="K33" s="63"/>
    </row>
    <row r="34" spans="1:11" s="2" customFormat="1" ht="54" customHeight="1" x14ac:dyDescent="0.45">
      <c r="A34" s="21">
        <v>2</v>
      </c>
      <c r="B34" s="63" t="s">
        <v>59</v>
      </c>
      <c r="C34" s="22">
        <v>1</v>
      </c>
      <c r="D34" s="63" t="s">
        <v>18</v>
      </c>
      <c r="E34" s="23">
        <v>10</v>
      </c>
      <c r="F34" s="22">
        <f t="shared" ref="F34:F37" si="0">50000/1000</f>
        <v>50</v>
      </c>
      <c r="G34" s="63"/>
      <c r="H34" s="63"/>
      <c r="I34" s="63"/>
      <c r="J34" s="63"/>
      <c r="K34" s="63"/>
    </row>
    <row r="35" spans="1:11" s="2" customFormat="1" ht="54" customHeight="1" x14ac:dyDescent="0.45">
      <c r="A35" s="21">
        <v>3</v>
      </c>
      <c r="B35" s="63" t="s">
        <v>60</v>
      </c>
      <c r="C35" s="22">
        <v>1</v>
      </c>
      <c r="D35" s="63" t="s">
        <v>18</v>
      </c>
      <c r="E35" s="23">
        <v>10</v>
      </c>
      <c r="F35" s="22">
        <f t="shared" si="0"/>
        <v>50</v>
      </c>
      <c r="G35" s="63"/>
      <c r="H35" s="63"/>
      <c r="I35" s="63"/>
      <c r="J35" s="63"/>
      <c r="K35" s="28"/>
    </row>
    <row r="36" spans="1:11" s="2" customFormat="1" ht="54" customHeight="1" x14ac:dyDescent="0.45">
      <c r="A36" s="21">
        <v>4</v>
      </c>
      <c r="B36" s="63" t="s">
        <v>61</v>
      </c>
      <c r="C36" s="22">
        <v>1</v>
      </c>
      <c r="D36" s="63" t="s">
        <v>18</v>
      </c>
      <c r="E36" s="23">
        <v>20</v>
      </c>
      <c r="F36" s="29">
        <f>72355/1000</f>
        <v>72.355000000000004</v>
      </c>
      <c r="G36" s="63"/>
      <c r="H36" s="63"/>
      <c r="I36" s="63"/>
      <c r="J36" s="63"/>
      <c r="K36" s="63"/>
    </row>
    <row r="37" spans="1:11" s="2" customFormat="1" ht="54" customHeight="1" x14ac:dyDescent="0.45">
      <c r="A37" s="21">
        <v>5</v>
      </c>
      <c r="B37" s="63" t="s">
        <v>62</v>
      </c>
      <c r="C37" s="22">
        <v>1</v>
      </c>
      <c r="D37" s="63" t="s">
        <v>18</v>
      </c>
      <c r="E37" s="23">
        <v>20</v>
      </c>
      <c r="F37" s="22">
        <f t="shared" si="0"/>
        <v>50</v>
      </c>
      <c r="G37" s="63"/>
      <c r="H37" s="63"/>
      <c r="I37" s="63"/>
      <c r="J37" s="63"/>
      <c r="K37" s="23"/>
    </row>
    <row r="38" spans="1:11" s="2" customFormat="1" ht="79.5" customHeight="1" x14ac:dyDescent="0.45">
      <c r="A38" s="21">
        <v>6</v>
      </c>
      <c r="B38" s="63" t="s">
        <v>447</v>
      </c>
      <c r="C38" s="22">
        <v>2</v>
      </c>
      <c r="D38" s="61" t="s">
        <v>18</v>
      </c>
      <c r="E38" s="22">
        <v>25</v>
      </c>
      <c r="F38" s="22">
        <f>92000/1000</f>
        <v>92</v>
      </c>
      <c r="G38" s="63"/>
      <c r="H38" s="63"/>
      <c r="I38" s="63"/>
      <c r="J38" s="63"/>
      <c r="K38" s="23"/>
    </row>
    <row r="39" spans="1:11" s="2" customFormat="1" ht="54" customHeight="1" x14ac:dyDescent="0.45">
      <c r="A39" s="21">
        <v>7</v>
      </c>
      <c r="B39" s="63" t="s">
        <v>73</v>
      </c>
      <c r="C39" s="22">
        <v>2</v>
      </c>
      <c r="D39" s="61" t="s">
        <v>18</v>
      </c>
      <c r="E39" s="22">
        <v>25</v>
      </c>
      <c r="F39" s="22">
        <f>100000/1000</f>
        <v>100</v>
      </c>
      <c r="G39" s="63"/>
      <c r="H39" s="63"/>
      <c r="I39" s="63"/>
      <c r="J39" s="63"/>
      <c r="K39" s="23"/>
    </row>
    <row r="40" spans="1:11" s="2" customFormat="1" ht="74.25" customHeight="1" x14ac:dyDescent="0.45">
      <c r="A40" s="21">
        <v>8</v>
      </c>
      <c r="B40" s="63" t="s">
        <v>74</v>
      </c>
      <c r="C40" s="22">
        <v>2</v>
      </c>
      <c r="D40" s="61" t="s">
        <v>18</v>
      </c>
      <c r="E40" s="22">
        <v>20</v>
      </c>
      <c r="F40" s="22">
        <f>60000/1000</f>
        <v>60</v>
      </c>
      <c r="G40" s="63"/>
      <c r="H40" s="63"/>
      <c r="I40" s="63"/>
      <c r="J40" s="63"/>
      <c r="K40" s="23"/>
    </row>
    <row r="41" spans="1:11" s="2" customFormat="1" ht="54" customHeight="1" x14ac:dyDescent="0.45">
      <c r="A41" s="21">
        <v>9</v>
      </c>
      <c r="B41" s="63" t="s">
        <v>77</v>
      </c>
      <c r="C41" s="22">
        <v>3</v>
      </c>
      <c r="D41" s="63" t="s">
        <v>18</v>
      </c>
      <c r="E41" s="22">
        <v>30</v>
      </c>
      <c r="F41" s="22">
        <v>50</v>
      </c>
      <c r="G41" s="63"/>
      <c r="H41" s="63"/>
      <c r="I41" s="63"/>
      <c r="J41" s="63"/>
      <c r="K41" s="23"/>
    </row>
    <row r="42" spans="1:11" s="2" customFormat="1" ht="54" customHeight="1" x14ac:dyDescent="0.45">
      <c r="A42" s="21">
        <v>10</v>
      </c>
      <c r="B42" s="63" t="s">
        <v>78</v>
      </c>
      <c r="C42" s="22">
        <v>3</v>
      </c>
      <c r="D42" s="63" t="s">
        <v>18</v>
      </c>
      <c r="E42" s="22">
        <v>10</v>
      </c>
      <c r="F42" s="22">
        <v>50</v>
      </c>
      <c r="G42" s="63"/>
      <c r="H42" s="63"/>
      <c r="I42" s="63"/>
      <c r="J42" s="63"/>
      <c r="K42" s="23"/>
    </row>
    <row r="43" spans="1:11" s="2" customFormat="1" ht="54" customHeight="1" x14ac:dyDescent="0.45">
      <c r="A43" s="21">
        <v>11</v>
      </c>
      <c r="B43" s="63" t="s">
        <v>79</v>
      </c>
      <c r="C43" s="22">
        <v>4</v>
      </c>
      <c r="D43" s="63" t="s">
        <v>18</v>
      </c>
      <c r="E43" s="22">
        <v>30</v>
      </c>
      <c r="F43" s="22">
        <f>60000/1000</f>
        <v>60</v>
      </c>
      <c r="G43" s="63"/>
      <c r="H43" s="63"/>
      <c r="I43" s="63"/>
      <c r="J43" s="63"/>
      <c r="K43" s="23"/>
    </row>
    <row r="44" spans="1:11" s="2" customFormat="1" ht="54" customHeight="1" x14ac:dyDescent="0.45">
      <c r="A44" s="21">
        <v>12</v>
      </c>
      <c r="B44" s="63" t="s">
        <v>80</v>
      </c>
      <c r="C44" s="22">
        <v>4</v>
      </c>
      <c r="D44" s="63" t="s">
        <v>18</v>
      </c>
      <c r="E44" s="22">
        <v>30</v>
      </c>
      <c r="F44" s="22">
        <f>60000/1000</f>
        <v>60</v>
      </c>
      <c r="G44" s="63"/>
      <c r="H44" s="63"/>
      <c r="I44" s="63"/>
      <c r="J44" s="63"/>
      <c r="K44" s="23"/>
    </row>
    <row r="45" spans="1:11" s="2" customFormat="1" ht="54" customHeight="1" x14ac:dyDescent="0.45">
      <c r="A45" s="21">
        <v>13</v>
      </c>
      <c r="B45" s="63" t="s">
        <v>81</v>
      </c>
      <c r="C45" s="22">
        <v>4</v>
      </c>
      <c r="D45" s="63" t="s">
        <v>18</v>
      </c>
      <c r="E45" s="22">
        <v>30</v>
      </c>
      <c r="F45" s="22">
        <f>70000/1000</f>
        <v>70</v>
      </c>
      <c r="G45" s="63"/>
      <c r="H45" s="63"/>
      <c r="I45" s="63"/>
      <c r="J45" s="63"/>
      <c r="K45" s="23"/>
    </row>
    <row r="46" spans="1:11" s="2" customFormat="1" ht="54" customHeight="1" x14ac:dyDescent="0.45">
      <c r="A46" s="21">
        <v>14</v>
      </c>
      <c r="B46" s="63" t="s">
        <v>82</v>
      </c>
      <c r="C46" s="22">
        <v>4</v>
      </c>
      <c r="D46" s="63" t="s">
        <v>18</v>
      </c>
      <c r="E46" s="22">
        <v>30</v>
      </c>
      <c r="F46" s="22">
        <f t="shared" ref="F46" si="1">50000/1000</f>
        <v>50</v>
      </c>
      <c r="G46" s="63"/>
      <c r="H46" s="63"/>
      <c r="I46" s="63"/>
      <c r="J46" s="63"/>
      <c r="K46" s="23"/>
    </row>
    <row r="47" spans="1:11" s="2" customFormat="1" ht="54" customHeight="1" x14ac:dyDescent="0.45">
      <c r="A47" s="21">
        <v>15</v>
      </c>
      <c r="B47" s="63" t="s">
        <v>84</v>
      </c>
      <c r="C47" s="22">
        <v>5</v>
      </c>
      <c r="D47" s="61" t="s">
        <v>18</v>
      </c>
      <c r="E47" s="22">
        <v>30</v>
      </c>
      <c r="F47" s="22">
        <f t="shared" ref="F47:F53" si="2">50000/1000</f>
        <v>50</v>
      </c>
      <c r="G47" s="63"/>
      <c r="H47" s="63"/>
      <c r="I47" s="63"/>
      <c r="J47" s="63"/>
      <c r="K47" s="23"/>
    </row>
    <row r="48" spans="1:11" s="2" customFormat="1" ht="54" customHeight="1" x14ac:dyDescent="0.45">
      <c r="A48" s="21">
        <v>16</v>
      </c>
      <c r="B48" s="63" t="s">
        <v>85</v>
      </c>
      <c r="C48" s="22">
        <v>5</v>
      </c>
      <c r="D48" s="61" t="s">
        <v>18</v>
      </c>
      <c r="E48" s="22">
        <v>30</v>
      </c>
      <c r="F48" s="22">
        <f t="shared" si="2"/>
        <v>50</v>
      </c>
      <c r="G48" s="63"/>
      <c r="H48" s="63"/>
      <c r="I48" s="63"/>
      <c r="J48" s="63"/>
      <c r="K48" s="23"/>
    </row>
    <row r="49" spans="1:11" s="2" customFormat="1" ht="54" customHeight="1" x14ac:dyDescent="0.45">
      <c r="A49" s="21">
        <v>17</v>
      </c>
      <c r="B49" s="63" t="s">
        <v>86</v>
      </c>
      <c r="C49" s="22">
        <v>5</v>
      </c>
      <c r="D49" s="61" t="s">
        <v>18</v>
      </c>
      <c r="E49" s="22">
        <v>30</v>
      </c>
      <c r="F49" s="22">
        <f t="shared" si="2"/>
        <v>50</v>
      </c>
      <c r="G49" s="63"/>
      <c r="H49" s="63"/>
      <c r="I49" s="63"/>
      <c r="J49" s="63"/>
      <c r="K49" s="23"/>
    </row>
    <row r="50" spans="1:11" s="2" customFormat="1" ht="54" customHeight="1" x14ac:dyDescent="0.45">
      <c r="A50" s="21">
        <v>18</v>
      </c>
      <c r="B50" s="63" t="s">
        <v>87</v>
      </c>
      <c r="C50" s="22">
        <v>5</v>
      </c>
      <c r="D50" s="61" t="s">
        <v>18</v>
      </c>
      <c r="E50" s="22">
        <v>20</v>
      </c>
      <c r="F50" s="22">
        <f t="shared" si="2"/>
        <v>50</v>
      </c>
      <c r="G50" s="63"/>
      <c r="H50" s="63"/>
      <c r="I50" s="63"/>
      <c r="J50" s="63"/>
      <c r="K50" s="23"/>
    </row>
    <row r="51" spans="1:11" s="2" customFormat="1" ht="42.75" customHeight="1" x14ac:dyDescent="0.45">
      <c r="A51" s="21">
        <v>19</v>
      </c>
      <c r="B51" s="63" t="s">
        <v>88</v>
      </c>
      <c r="C51" s="22">
        <v>6</v>
      </c>
      <c r="D51" s="63" t="s">
        <v>18</v>
      </c>
      <c r="E51" s="22">
        <v>30</v>
      </c>
      <c r="F51" s="22">
        <f t="shared" si="2"/>
        <v>50</v>
      </c>
      <c r="G51" s="63"/>
      <c r="H51" s="63"/>
      <c r="I51" s="63"/>
      <c r="J51" s="63"/>
      <c r="K51" s="23"/>
    </row>
    <row r="52" spans="1:11" s="2" customFormat="1" ht="54" customHeight="1" x14ac:dyDescent="0.45">
      <c r="A52" s="21">
        <v>20</v>
      </c>
      <c r="B52" s="63" t="s">
        <v>89</v>
      </c>
      <c r="C52" s="22">
        <v>6</v>
      </c>
      <c r="D52" s="63" t="s">
        <v>18</v>
      </c>
      <c r="E52" s="22">
        <v>30</v>
      </c>
      <c r="F52" s="22">
        <f t="shared" si="2"/>
        <v>50</v>
      </c>
      <c r="G52" s="63"/>
      <c r="H52" s="63"/>
      <c r="I52" s="63"/>
      <c r="J52" s="63"/>
      <c r="K52" s="23"/>
    </row>
    <row r="53" spans="1:11" s="2" customFormat="1" ht="54" customHeight="1" x14ac:dyDescent="0.45">
      <c r="A53" s="21">
        <v>21</v>
      </c>
      <c r="B53" s="63" t="s">
        <v>90</v>
      </c>
      <c r="C53" s="22">
        <v>6</v>
      </c>
      <c r="D53" s="63" t="s">
        <v>18</v>
      </c>
      <c r="E53" s="22">
        <v>30</v>
      </c>
      <c r="F53" s="22">
        <f t="shared" si="2"/>
        <v>50</v>
      </c>
      <c r="G53" s="63"/>
      <c r="H53" s="63"/>
      <c r="I53" s="63"/>
      <c r="J53" s="63"/>
      <c r="K53" s="23"/>
    </row>
    <row r="54" spans="1:11" s="2" customFormat="1" ht="54" customHeight="1" x14ac:dyDescent="0.45">
      <c r="A54" s="21">
        <v>22</v>
      </c>
      <c r="B54" s="63" t="s">
        <v>91</v>
      </c>
      <c r="C54" s="22">
        <v>6</v>
      </c>
      <c r="D54" s="63" t="s">
        <v>18</v>
      </c>
      <c r="E54" s="22">
        <v>30</v>
      </c>
      <c r="F54" s="29">
        <f>70000/1000</f>
        <v>70</v>
      </c>
      <c r="G54" s="63"/>
      <c r="H54" s="63"/>
      <c r="I54" s="63"/>
      <c r="J54" s="63"/>
      <c r="K54" s="23"/>
    </row>
    <row r="55" spans="1:11" s="2" customFormat="1" ht="54" customHeight="1" x14ac:dyDescent="0.45">
      <c r="A55" s="21">
        <v>23</v>
      </c>
      <c r="B55" s="63" t="s">
        <v>93</v>
      </c>
      <c r="C55" s="22">
        <v>7</v>
      </c>
      <c r="D55" s="22" t="s">
        <v>18</v>
      </c>
      <c r="E55" s="22">
        <v>25</v>
      </c>
      <c r="F55" s="21">
        <f>E55*1785/1000</f>
        <v>44.625</v>
      </c>
      <c r="G55" s="23">
        <v>754</v>
      </c>
      <c r="H55" s="23">
        <v>223</v>
      </c>
      <c r="I55" s="23">
        <v>54</v>
      </c>
      <c r="J55" s="23">
        <v>61</v>
      </c>
      <c r="K55" s="23"/>
    </row>
    <row r="56" spans="1:11" s="2" customFormat="1" ht="54" customHeight="1" x14ac:dyDescent="0.45">
      <c r="A56" s="21">
        <v>24</v>
      </c>
      <c r="B56" s="25" t="s">
        <v>94</v>
      </c>
      <c r="C56" s="22">
        <v>7</v>
      </c>
      <c r="D56" s="22" t="s">
        <v>18</v>
      </c>
      <c r="E56" s="22">
        <v>35</v>
      </c>
      <c r="F56" s="21">
        <v>50</v>
      </c>
      <c r="G56" s="63"/>
      <c r="H56" s="63"/>
      <c r="I56" s="23">
        <v>65</v>
      </c>
      <c r="J56" s="23">
        <v>98</v>
      </c>
      <c r="K56" s="23"/>
    </row>
    <row r="57" spans="1:11" s="2" customFormat="1" ht="75.75" customHeight="1" x14ac:dyDescent="0.45">
      <c r="A57" s="21">
        <v>25</v>
      </c>
      <c r="B57" s="25" t="s">
        <v>95</v>
      </c>
      <c r="C57" s="22">
        <v>7</v>
      </c>
      <c r="D57" s="22" t="s">
        <v>18</v>
      </c>
      <c r="E57" s="22">
        <v>25</v>
      </c>
      <c r="F57" s="21">
        <f>100000/1000</f>
        <v>100</v>
      </c>
      <c r="G57" s="63"/>
      <c r="H57" s="63"/>
      <c r="I57" s="23">
        <v>145</v>
      </c>
      <c r="J57" s="23">
        <v>927</v>
      </c>
      <c r="K57" s="23"/>
    </row>
    <row r="58" spans="1:11" s="2" customFormat="1" ht="54" customHeight="1" x14ac:dyDescent="0.45">
      <c r="A58" s="21">
        <v>26</v>
      </c>
      <c r="B58" s="25" t="s">
        <v>96</v>
      </c>
      <c r="C58" s="22">
        <v>7</v>
      </c>
      <c r="D58" s="22" t="s">
        <v>18</v>
      </c>
      <c r="E58" s="22">
        <v>25</v>
      </c>
      <c r="F58" s="21">
        <f>50000/1000</f>
        <v>50</v>
      </c>
      <c r="G58" s="23">
        <v>215</v>
      </c>
      <c r="H58" s="23">
        <v>294</v>
      </c>
      <c r="I58" s="23">
        <v>112</v>
      </c>
      <c r="J58" s="23">
        <v>217</v>
      </c>
      <c r="K58" s="23"/>
    </row>
    <row r="59" spans="1:11" s="2" customFormat="1" ht="54" customHeight="1" x14ac:dyDescent="0.45">
      <c r="A59" s="21">
        <v>27</v>
      </c>
      <c r="B59" s="63" t="s">
        <v>97</v>
      </c>
      <c r="C59" s="22">
        <v>8</v>
      </c>
      <c r="D59" s="61" t="s">
        <v>18</v>
      </c>
      <c r="E59" s="22">
        <v>30</v>
      </c>
      <c r="F59" s="22">
        <f>50000/1000</f>
        <v>50</v>
      </c>
      <c r="G59" s="63"/>
      <c r="H59" s="63"/>
      <c r="I59" s="63"/>
      <c r="J59" s="63"/>
      <c r="K59" s="23"/>
    </row>
    <row r="60" spans="1:11" s="2" customFormat="1" ht="54" customHeight="1" x14ac:dyDescent="0.45">
      <c r="A60" s="21">
        <v>28</v>
      </c>
      <c r="B60" s="63" t="s">
        <v>98</v>
      </c>
      <c r="C60" s="22">
        <v>8</v>
      </c>
      <c r="D60" s="61" t="s">
        <v>18</v>
      </c>
      <c r="E60" s="22">
        <v>30</v>
      </c>
      <c r="F60" s="22">
        <f>98000/1000</f>
        <v>98</v>
      </c>
      <c r="G60" s="63"/>
      <c r="H60" s="63"/>
      <c r="I60" s="63"/>
      <c r="J60" s="63"/>
      <c r="K60" s="23"/>
    </row>
    <row r="61" spans="1:11" s="2" customFormat="1" ht="54" customHeight="1" x14ac:dyDescent="0.45">
      <c r="A61" s="21">
        <v>29</v>
      </c>
      <c r="B61" s="63" t="s">
        <v>99</v>
      </c>
      <c r="C61" s="22">
        <v>8</v>
      </c>
      <c r="D61" s="61" t="s">
        <v>18</v>
      </c>
      <c r="E61" s="22">
        <v>30</v>
      </c>
      <c r="F61" s="22">
        <f>50000/1000</f>
        <v>50</v>
      </c>
      <c r="G61" s="63"/>
      <c r="H61" s="63"/>
      <c r="I61" s="63"/>
      <c r="J61" s="63"/>
      <c r="K61" s="23"/>
    </row>
    <row r="62" spans="1:11" s="2" customFormat="1" ht="54" customHeight="1" x14ac:dyDescent="0.45">
      <c r="A62" s="21">
        <v>30</v>
      </c>
      <c r="B62" s="63" t="s">
        <v>100</v>
      </c>
      <c r="C62" s="22">
        <v>8</v>
      </c>
      <c r="D62" s="61" t="s">
        <v>18</v>
      </c>
      <c r="E62" s="22">
        <v>20</v>
      </c>
      <c r="F62" s="22">
        <f>50000/1000</f>
        <v>50</v>
      </c>
      <c r="G62" s="63"/>
      <c r="H62" s="63"/>
      <c r="I62" s="63"/>
      <c r="J62" s="63"/>
      <c r="K62" s="23"/>
    </row>
    <row r="63" spans="1:11" s="2" customFormat="1" ht="54" customHeight="1" x14ac:dyDescent="0.45">
      <c r="A63" s="21">
        <v>31</v>
      </c>
      <c r="B63" s="63" t="s">
        <v>430</v>
      </c>
      <c r="C63" s="22">
        <v>9</v>
      </c>
      <c r="D63" s="91" t="s">
        <v>18</v>
      </c>
      <c r="E63" s="22">
        <v>30</v>
      </c>
      <c r="F63" s="22">
        <f>100000/1000</f>
        <v>100</v>
      </c>
      <c r="G63" s="63"/>
      <c r="H63" s="63"/>
      <c r="I63" s="63"/>
      <c r="J63" s="63"/>
      <c r="K63" s="23"/>
    </row>
    <row r="64" spans="1:11" s="2" customFormat="1" ht="54" customHeight="1" x14ac:dyDescent="0.45">
      <c r="A64" s="21">
        <v>32</v>
      </c>
      <c r="B64" s="63" t="s">
        <v>431</v>
      </c>
      <c r="C64" s="22">
        <v>9</v>
      </c>
      <c r="D64" s="91" t="s">
        <v>18</v>
      </c>
      <c r="E64" s="22">
        <v>30</v>
      </c>
      <c r="F64" s="22">
        <f>50000/1000</f>
        <v>50</v>
      </c>
      <c r="G64" s="63"/>
      <c r="H64" s="63"/>
      <c r="I64" s="63"/>
      <c r="J64" s="63"/>
      <c r="K64" s="23"/>
    </row>
    <row r="65" spans="1:11" s="2" customFormat="1" ht="54" customHeight="1" x14ac:dyDescent="0.45">
      <c r="A65" s="21">
        <v>33</v>
      </c>
      <c r="B65" s="63" t="s">
        <v>432</v>
      </c>
      <c r="C65" s="22">
        <v>9</v>
      </c>
      <c r="D65" s="91" t="s">
        <v>18</v>
      </c>
      <c r="E65" s="22">
        <v>30</v>
      </c>
      <c r="F65" s="22">
        <f>50000/1000</f>
        <v>50</v>
      </c>
      <c r="G65" s="63"/>
      <c r="H65" s="63"/>
      <c r="I65" s="63"/>
      <c r="J65" s="63"/>
      <c r="K65" s="23"/>
    </row>
    <row r="66" spans="1:11" s="2" customFormat="1" ht="54" customHeight="1" x14ac:dyDescent="0.45">
      <c r="A66" s="21">
        <v>34</v>
      </c>
      <c r="B66" s="63" t="s">
        <v>102</v>
      </c>
      <c r="C66" s="22">
        <v>10</v>
      </c>
      <c r="D66" s="61" t="s">
        <v>18</v>
      </c>
      <c r="E66" s="22">
        <v>25</v>
      </c>
      <c r="F66" s="22">
        <f>92000/1000</f>
        <v>92</v>
      </c>
      <c r="G66" s="63"/>
      <c r="H66" s="63"/>
      <c r="I66" s="63"/>
      <c r="J66" s="63"/>
      <c r="K66" s="23"/>
    </row>
    <row r="67" spans="1:11" s="2" customFormat="1" ht="54" customHeight="1" x14ac:dyDescent="0.45">
      <c r="A67" s="21">
        <v>35</v>
      </c>
      <c r="B67" s="63" t="s">
        <v>103</v>
      </c>
      <c r="C67" s="22">
        <v>10</v>
      </c>
      <c r="D67" s="61" t="s">
        <v>18</v>
      </c>
      <c r="E67" s="22">
        <v>25</v>
      </c>
      <c r="F67" s="22">
        <f>100000/1000</f>
        <v>100</v>
      </c>
      <c r="G67" s="63"/>
      <c r="H67" s="63"/>
      <c r="I67" s="63"/>
      <c r="J67" s="63"/>
      <c r="K67" s="23"/>
    </row>
    <row r="68" spans="1:11" s="2" customFormat="1" ht="46.5" customHeight="1" x14ac:dyDescent="0.45">
      <c r="A68" s="21">
        <v>36</v>
      </c>
      <c r="B68" s="63" t="s">
        <v>104</v>
      </c>
      <c r="C68" s="22">
        <v>10</v>
      </c>
      <c r="D68" s="61" t="s">
        <v>18</v>
      </c>
      <c r="E68" s="22">
        <v>25</v>
      </c>
      <c r="F68" s="22">
        <f>100000/1000</f>
        <v>100</v>
      </c>
      <c r="G68" s="63"/>
      <c r="H68" s="63"/>
      <c r="I68" s="63"/>
      <c r="J68" s="63"/>
      <c r="K68" s="23"/>
    </row>
    <row r="69" spans="1:11" s="2" customFormat="1" ht="49.5" customHeight="1" x14ac:dyDescent="0.45">
      <c r="A69" s="21">
        <v>37</v>
      </c>
      <c r="B69" s="63" t="s">
        <v>132</v>
      </c>
      <c r="C69" s="22">
        <v>11</v>
      </c>
      <c r="D69" s="61" t="s">
        <v>105</v>
      </c>
      <c r="E69" s="22">
        <v>20</v>
      </c>
      <c r="F69" s="22">
        <v>25</v>
      </c>
      <c r="G69" s="63"/>
      <c r="H69" s="63"/>
      <c r="I69" s="63"/>
      <c r="J69" s="63"/>
      <c r="K69" s="23"/>
    </row>
    <row r="70" spans="1:11" s="2" customFormat="1" ht="37.5" customHeight="1" x14ac:dyDescent="0.45">
      <c r="A70" s="21">
        <v>38</v>
      </c>
      <c r="B70" s="63" t="s">
        <v>133</v>
      </c>
      <c r="C70" s="22">
        <v>11</v>
      </c>
      <c r="D70" s="61" t="s">
        <v>105</v>
      </c>
      <c r="E70" s="22">
        <v>20</v>
      </c>
      <c r="F70" s="22">
        <v>35</v>
      </c>
      <c r="G70" s="63"/>
      <c r="H70" s="63"/>
      <c r="I70" s="63"/>
      <c r="J70" s="63"/>
      <c r="K70" s="23"/>
    </row>
    <row r="71" spans="1:11" s="2" customFormat="1" ht="47.25" customHeight="1" x14ac:dyDescent="0.45">
      <c r="A71" s="21">
        <v>39</v>
      </c>
      <c r="B71" s="63" t="s">
        <v>134</v>
      </c>
      <c r="C71" s="22">
        <v>11</v>
      </c>
      <c r="D71" s="61" t="s">
        <v>105</v>
      </c>
      <c r="E71" s="22">
        <v>30</v>
      </c>
      <c r="F71" s="22">
        <v>35</v>
      </c>
      <c r="G71" s="63"/>
      <c r="H71" s="63"/>
      <c r="I71" s="63"/>
      <c r="J71" s="63"/>
      <c r="K71" s="23"/>
    </row>
    <row r="72" spans="1:11" s="2" customFormat="1" ht="46.5" customHeight="1" x14ac:dyDescent="0.45">
      <c r="A72" s="21">
        <v>40</v>
      </c>
      <c r="B72" s="63" t="s">
        <v>135</v>
      </c>
      <c r="C72" s="22">
        <v>12</v>
      </c>
      <c r="D72" s="91" t="s">
        <v>105</v>
      </c>
      <c r="E72" s="22">
        <v>30</v>
      </c>
      <c r="F72" s="22">
        <f>50000/1000</f>
        <v>50</v>
      </c>
      <c r="G72" s="63"/>
      <c r="H72" s="63"/>
      <c r="I72" s="63"/>
      <c r="J72" s="63"/>
      <c r="K72" s="23"/>
    </row>
    <row r="73" spans="1:11" s="2" customFormat="1" ht="33.75" customHeight="1" x14ac:dyDescent="0.45">
      <c r="A73" s="21">
        <v>41</v>
      </c>
      <c r="B73" s="63" t="s">
        <v>136</v>
      </c>
      <c r="C73" s="22">
        <v>12</v>
      </c>
      <c r="D73" s="91" t="s">
        <v>105</v>
      </c>
      <c r="E73" s="22">
        <v>30</v>
      </c>
      <c r="F73" s="22">
        <f t="shared" ref="F73:F76" si="3">50000/1000</f>
        <v>50</v>
      </c>
      <c r="G73" s="63"/>
      <c r="H73" s="63"/>
      <c r="I73" s="63"/>
      <c r="J73" s="63"/>
      <c r="K73" s="23"/>
    </row>
    <row r="74" spans="1:11" s="2" customFormat="1" ht="42.75" customHeight="1" x14ac:dyDescent="0.45">
      <c r="A74" s="21">
        <v>42</v>
      </c>
      <c r="B74" s="63" t="s">
        <v>137</v>
      </c>
      <c r="C74" s="22">
        <v>12</v>
      </c>
      <c r="D74" s="91" t="s">
        <v>105</v>
      </c>
      <c r="E74" s="22">
        <v>30</v>
      </c>
      <c r="F74" s="22">
        <f t="shared" si="3"/>
        <v>50</v>
      </c>
      <c r="G74" s="63"/>
      <c r="H74" s="63"/>
      <c r="I74" s="63"/>
      <c r="J74" s="63"/>
      <c r="K74" s="23"/>
    </row>
    <row r="75" spans="1:11" s="2" customFormat="1" ht="29.25" customHeight="1" x14ac:dyDescent="0.45">
      <c r="A75" s="21">
        <v>43</v>
      </c>
      <c r="B75" s="63" t="s">
        <v>138</v>
      </c>
      <c r="C75" s="22">
        <v>12</v>
      </c>
      <c r="D75" s="91" t="s">
        <v>105</v>
      </c>
      <c r="E75" s="22">
        <v>30</v>
      </c>
      <c r="F75" s="22">
        <f t="shared" si="3"/>
        <v>50</v>
      </c>
      <c r="G75" s="63"/>
      <c r="H75" s="63"/>
      <c r="I75" s="63"/>
      <c r="J75" s="63"/>
      <c r="K75" s="23"/>
    </row>
    <row r="76" spans="1:11" s="2" customFormat="1" ht="37.5" customHeight="1" x14ac:dyDescent="0.45">
      <c r="A76" s="21">
        <v>44</v>
      </c>
      <c r="B76" s="63" t="s">
        <v>139</v>
      </c>
      <c r="C76" s="22">
        <v>12</v>
      </c>
      <c r="D76" s="91" t="s">
        <v>105</v>
      </c>
      <c r="E76" s="22">
        <v>30</v>
      </c>
      <c r="F76" s="22">
        <f t="shared" si="3"/>
        <v>50</v>
      </c>
      <c r="G76" s="63"/>
      <c r="H76" s="63"/>
      <c r="I76" s="63"/>
      <c r="J76" s="63"/>
      <c r="K76" s="23"/>
    </row>
    <row r="77" spans="1:11" s="2" customFormat="1" ht="44.25" customHeight="1" x14ac:dyDescent="0.45">
      <c r="A77" s="21">
        <v>45</v>
      </c>
      <c r="B77" s="63" t="s">
        <v>106</v>
      </c>
      <c r="C77" s="22">
        <v>13</v>
      </c>
      <c r="D77" s="91" t="s">
        <v>105</v>
      </c>
      <c r="E77" s="22">
        <v>30</v>
      </c>
      <c r="F77" s="22">
        <f>50000/1000</f>
        <v>50</v>
      </c>
      <c r="G77" s="63"/>
      <c r="H77" s="63"/>
      <c r="I77" s="63"/>
      <c r="J77" s="63"/>
      <c r="K77" s="23"/>
    </row>
    <row r="78" spans="1:11" s="2" customFormat="1" ht="42.75" customHeight="1" x14ac:dyDescent="0.45">
      <c r="A78" s="21">
        <v>46</v>
      </c>
      <c r="B78" s="63" t="s">
        <v>107</v>
      </c>
      <c r="C78" s="22">
        <v>13</v>
      </c>
      <c r="D78" s="91" t="s">
        <v>105</v>
      </c>
      <c r="E78" s="22">
        <v>30</v>
      </c>
      <c r="F78" s="22">
        <f t="shared" ref="F78:F80" si="4">50000/1000</f>
        <v>50</v>
      </c>
      <c r="G78" s="63"/>
      <c r="H78" s="63"/>
      <c r="I78" s="63"/>
      <c r="J78" s="63"/>
      <c r="K78" s="23"/>
    </row>
    <row r="79" spans="1:11" s="2" customFormat="1" ht="48.75" customHeight="1" x14ac:dyDescent="0.45">
      <c r="A79" s="21">
        <v>47</v>
      </c>
      <c r="B79" s="63" t="s">
        <v>108</v>
      </c>
      <c r="C79" s="22">
        <v>13</v>
      </c>
      <c r="D79" s="91" t="s">
        <v>105</v>
      </c>
      <c r="E79" s="22">
        <v>30</v>
      </c>
      <c r="F79" s="22">
        <f t="shared" si="4"/>
        <v>50</v>
      </c>
      <c r="G79" s="63"/>
      <c r="H79" s="63"/>
      <c r="I79" s="63"/>
      <c r="J79" s="63"/>
      <c r="K79" s="23"/>
    </row>
    <row r="80" spans="1:11" s="2" customFormat="1" ht="46.5" customHeight="1" x14ac:dyDescent="0.45">
      <c r="A80" s="21">
        <v>48</v>
      </c>
      <c r="B80" s="63" t="s">
        <v>109</v>
      </c>
      <c r="C80" s="22">
        <v>13</v>
      </c>
      <c r="D80" s="91" t="s">
        <v>105</v>
      </c>
      <c r="E80" s="22">
        <v>30</v>
      </c>
      <c r="F80" s="22">
        <f t="shared" si="4"/>
        <v>50</v>
      </c>
      <c r="G80" s="63"/>
      <c r="H80" s="63"/>
      <c r="I80" s="63"/>
      <c r="J80" s="63"/>
      <c r="K80" s="23"/>
    </row>
    <row r="81" spans="1:11" s="2" customFormat="1" ht="50.25" customHeight="1" x14ac:dyDescent="0.45">
      <c r="A81" s="21">
        <v>49</v>
      </c>
      <c r="B81" s="63" t="s">
        <v>112</v>
      </c>
      <c r="C81" s="22">
        <v>14</v>
      </c>
      <c r="D81" s="91" t="s">
        <v>105</v>
      </c>
      <c r="E81" s="22">
        <v>30</v>
      </c>
      <c r="F81" s="29">
        <f>50000/1000</f>
        <v>50</v>
      </c>
      <c r="G81" s="63"/>
      <c r="H81" s="63"/>
      <c r="I81" s="63"/>
      <c r="J81" s="63"/>
      <c r="K81" s="23"/>
    </row>
    <row r="82" spans="1:11" s="2" customFormat="1" ht="47.25" customHeight="1" x14ac:dyDescent="0.45">
      <c r="A82" s="21">
        <v>50</v>
      </c>
      <c r="B82" s="63" t="s">
        <v>113</v>
      </c>
      <c r="C82" s="22">
        <v>14</v>
      </c>
      <c r="D82" s="91" t="s">
        <v>105</v>
      </c>
      <c r="E82" s="22">
        <v>30</v>
      </c>
      <c r="F82" s="29">
        <f>61000/1000</f>
        <v>61</v>
      </c>
      <c r="G82" s="63"/>
      <c r="H82" s="63"/>
      <c r="I82" s="63"/>
      <c r="J82" s="63"/>
      <c r="K82" s="23"/>
    </row>
    <row r="83" spans="1:11" s="2" customFormat="1" ht="53.25" customHeight="1" x14ac:dyDescent="0.45">
      <c r="A83" s="21">
        <v>51</v>
      </c>
      <c r="B83" s="63" t="s">
        <v>114</v>
      </c>
      <c r="C83" s="22">
        <v>15</v>
      </c>
      <c r="D83" s="91" t="s">
        <v>105</v>
      </c>
      <c r="E83" s="22">
        <v>30</v>
      </c>
      <c r="F83" s="22">
        <v>100</v>
      </c>
      <c r="G83" s="63"/>
      <c r="H83" s="63"/>
      <c r="I83" s="63"/>
      <c r="J83" s="63"/>
      <c r="K83" s="23"/>
    </row>
    <row r="84" spans="1:11" s="2" customFormat="1" ht="42" customHeight="1" x14ac:dyDescent="0.45">
      <c r="A84" s="21">
        <v>52</v>
      </c>
      <c r="B84" s="63" t="s">
        <v>115</v>
      </c>
      <c r="C84" s="22">
        <v>15</v>
      </c>
      <c r="D84" s="91" t="s">
        <v>105</v>
      </c>
      <c r="E84" s="22">
        <v>30</v>
      </c>
      <c r="F84" s="21">
        <v>50</v>
      </c>
      <c r="G84" s="63"/>
      <c r="H84" s="63"/>
      <c r="I84" s="63"/>
      <c r="J84" s="63"/>
      <c r="K84" s="23"/>
    </row>
    <row r="85" spans="1:11" s="2" customFormat="1" ht="53.25" customHeight="1" x14ac:dyDescent="0.45">
      <c r="A85" s="21">
        <v>53</v>
      </c>
      <c r="B85" s="63" t="s">
        <v>116</v>
      </c>
      <c r="C85" s="22">
        <v>15</v>
      </c>
      <c r="D85" s="91" t="s">
        <v>105</v>
      </c>
      <c r="E85" s="22">
        <v>30</v>
      </c>
      <c r="F85" s="22">
        <v>50</v>
      </c>
      <c r="G85" s="63"/>
      <c r="H85" s="63"/>
      <c r="I85" s="63"/>
      <c r="J85" s="63"/>
      <c r="K85" s="23"/>
    </row>
    <row r="86" spans="1:11" s="2" customFormat="1" ht="57" customHeight="1" x14ac:dyDescent="0.45">
      <c r="A86" s="21">
        <v>54</v>
      </c>
      <c r="B86" s="63" t="s">
        <v>118</v>
      </c>
      <c r="C86" s="22">
        <v>16</v>
      </c>
      <c r="D86" s="91" t="s">
        <v>105</v>
      </c>
      <c r="E86" s="22">
        <v>30</v>
      </c>
      <c r="F86" s="22">
        <f>60000/1000</f>
        <v>60</v>
      </c>
      <c r="G86" s="63"/>
      <c r="H86" s="63"/>
      <c r="I86" s="63"/>
      <c r="J86" s="63"/>
      <c r="K86" s="23"/>
    </row>
    <row r="87" spans="1:11" s="2" customFormat="1" ht="54" customHeight="1" x14ac:dyDescent="0.45">
      <c r="A87" s="21">
        <v>55</v>
      </c>
      <c r="B87" s="63" t="s">
        <v>119</v>
      </c>
      <c r="C87" s="22">
        <v>16</v>
      </c>
      <c r="D87" s="91" t="s">
        <v>105</v>
      </c>
      <c r="E87" s="22">
        <v>30</v>
      </c>
      <c r="F87" s="22">
        <v>70</v>
      </c>
      <c r="G87" s="63"/>
      <c r="H87" s="63"/>
      <c r="I87" s="63"/>
      <c r="J87" s="63"/>
      <c r="K87" s="23"/>
    </row>
    <row r="88" spans="1:11" s="2" customFormat="1" ht="70.5" customHeight="1" x14ac:dyDescent="0.45">
      <c r="A88" s="21">
        <v>56</v>
      </c>
      <c r="B88" s="63" t="s">
        <v>120</v>
      </c>
      <c r="C88" s="22">
        <v>17</v>
      </c>
      <c r="D88" s="91" t="s">
        <v>105</v>
      </c>
      <c r="E88" s="22">
        <v>30</v>
      </c>
      <c r="F88" s="22">
        <v>100</v>
      </c>
      <c r="G88" s="63"/>
      <c r="H88" s="63"/>
      <c r="I88" s="63"/>
      <c r="J88" s="63"/>
      <c r="K88" s="23"/>
    </row>
    <row r="89" spans="1:11" s="2" customFormat="1" ht="55.5" customHeight="1" x14ac:dyDescent="0.45">
      <c r="A89" s="21">
        <v>57</v>
      </c>
      <c r="B89" s="63" t="s">
        <v>140</v>
      </c>
      <c r="C89" s="22">
        <v>17</v>
      </c>
      <c r="D89" s="91" t="s">
        <v>105</v>
      </c>
      <c r="E89" s="22">
        <v>30</v>
      </c>
      <c r="F89" s="21">
        <v>110</v>
      </c>
      <c r="G89" s="63"/>
      <c r="H89" s="63"/>
      <c r="I89" s="63"/>
      <c r="J89" s="63"/>
      <c r="K89" s="23"/>
    </row>
    <row r="90" spans="1:11" s="2" customFormat="1" ht="61.5" customHeight="1" x14ac:dyDescent="0.45">
      <c r="A90" s="21">
        <v>58</v>
      </c>
      <c r="B90" s="63" t="s">
        <v>122</v>
      </c>
      <c r="C90" s="23">
        <v>18</v>
      </c>
      <c r="D90" s="91" t="s">
        <v>105</v>
      </c>
      <c r="E90" s="23">
        <v>50</v>
      </c>
      <c r="F90" s="22">
        <f>181848.47/1000</f>
        <v>181.84846999999999</v>
      </c>
      <c r="G90" s="63"/>
      <c r="H90" s="63"/>
      <c r="I90" s="63"/>
      <c r="J90" s="63"/>
      <c r="K90" s="23"/>
    </row>
    <row r="91" spans="1:11" s="2" customFormat="1" ht="54.75" customHeight="1" x14ac:dyDescent="0.45">
      <c r="A91" s="21">
        <v>59</v>
      </c>
      <c r="B91" s="63" t="s">
        <v>123</v>
      </c>
      <c r="C91" s="23">
        <v>19</v>
      </c>
      <c r="D91" s="63" t="s">
        <v>18</v>
      </c>
      <c r="E91" s="23">
        <v>20</v>
      </c>
      <c r="F91" s="22">
        <f>100000/1000</f>
        <v>100</v>
      </c>
      <c r="G91" s="63"/>
      <c r="H91" s="63"/>
      <c r="I91" s="63"/>
      <c r="J91" s="63"/>
      <c r="K91" s="23"/>
    </row>
    <row r="92" spans="1:11" s="2" customFormat="1" ht="57.75" customHeight="1" x14ac:dyDescent="0.45">
      <c r="A92" s="21">
        <v>60</v>
      </c>
      <c r="B92" s="63" t="s">
        <v>124</v>
      </c>
      <c r="C92" s="23">
        <v>19</v>
      </c>
      <c r="D92" s="63" t="s">
        <v>18</v>
      </c>
      <c r="E92" s="23">
        <v>40</v>
      </c>
      <c r="F92" s="22">
        <f>100000/1000</f>
        <v>100</v>
      </c>
      <c r="G92" s="63"/>
      <c r="H92" s="63"/>
      <c r="I92" s="63"/>
      <c r="J92" s="63"/>
      <c r="K92" s="23"/>
    </row>
    <row r="93" spans="1:11" s="2" customFormat="1" ht="54.75" customHeight="1" x14ac:dyDescent="0.45">
      <c r="A93" s="21">
        <v>61</v>
      </c>
      <c r="B93" s="63" t="s">
        <v>125</v>
      </c>
      <c r="C93" s="23">
        <v>19</v>
      </c>
      <c r="D93" s="63" t="s">
        <v>18</v>
      </c>
      <c r="E93" s="23">
        <v>20</v>
      </c>
      <c r="F93" s="22">
        <f>50362/1000</f>
        <v>50.362000000000002</v>
      </c>
      <c r="G93" s="63"/>
      <c r="H93" s="63"/>
      <c r="I93" s="63"/>
      <c r="J93" s="63"/>
      <c r="K93" s="23"/>
    </row>
    <row r="94" spans="1:11" s="2" customFormat="1" ht="54" customHeight="1" x14ac:dyDescent="0.45">
      <c r="A94" s="21">
        <v>62</v>
      </c>
      <c r="B94" s="63" t="s">
        <v>126</v>
      </c>
      <c r="C94" s="23">
        <v>20</v>
      </c>
      <c r="D94" s="63" t="s">
        <v>18</v>
      </c>
      <c r="E94" s="23">
        <v>20</v>
      </c>
      <c r="F94" s="22">
        <v>50</v>
      </c>
      <c r="G94" s="63"/>
      <c r="H94" s="63"/>
      <c r="I94" s="63"/>
      <c r="J94" s="63"/>
      <c r="K94" s="23"/>
    </row>
    <row r="95" spans="1:11" s="2" customFormat="1" ht="49.5" customHeight="1" x14ac:dyDescent="0.45">
      <c r="A95" s="21">
        <v>63</v>
      </c>
      <c r="B95" s="63" t="s">
        <v>127</v>
      </c>
      <c r="C95" s="23">
        <v>20</v>
      </c>
      <c r="D95" s="63" t="s">
        <v>18</v>
      </c>
      <c r="E95" s="23">
        <v>30</v>
      </c>
      <c r="F95" s="22">
        <v>50</v>
      </c>
      <c r="G95" s="63"/>
      <c r="H95" s="63"/>
      <c r="I95" s="63"/>
      <c r="J95" s="63"/>
      <c r="K95" s="23"/>
    </row>
    <row r="96" spans="1:11" s="2" customFormat="1" ht="54.75" customHeight="1" x14ac:dyDescent="0.45">
      <c r="A96" s="21">
        <v>64</v>
      </c>
      <c r="B96" s="63" t="s">
        <v>128</v>
      </c>
      <c r="C96" s="23">
        <v>20</v>
      </c>
      <c r="D96" s="63" t="s">
        <v>18</v>
      </c>
      <c r="E96" s="23">
        <v>30</v>
      </c>
      <c r="F96" s="22">
        <v>50</v>
      </c>
      <c r="G96" s="63"/>
      <c r="H96" s="63"/>
      <c r="I96" s="63"/>
      <c r="J96" s="63"/>
      <c r="K96" s="23"/>
    </row>
    <row r="97" spans="1:11" s="2" customFormat="1" ht="53.25" customHeight="1" x14ac:dyDescent="0.45">
      <c r="A97" s="21">
        <v>65</v>
      </c>
      <c r="B97" s="63" t="s">
        <v>129</v>
      </c>
      <c r="C97" s="23">
        <v>20</v>
      </c>
      <c r="D97" s="63" t="s">
        <v>18</v>
      </c>
      <c r="E97" s="23">
        <v>30</v>
      </c>
      <c r="F97" s="22">
        <v>50</v>
      </c>
      <c r="G97" s="63"/>
      <c r="H97" s="63"/>
      <c r="I97" s="63"/>
      <c r="J97" s="63"/>
      <c r="K97" s="23"/>
    </row>
    <row r="98" spans="1:11" s="2" customFormat="1" ht="48.75" customHeight="1" x14ac:dyDescent="0.45">
      <c r="A98" s="21">
        <v>66</v>
      </c>
      <c r="B98" s="63" t="s">
        <v>130</v>
      </c>
      <c r="C98" s="23">
        <v>20</v>
      </c>
      <c r="D98" s="63" t="s">
        <v>18</v>
      </c>
      <c r="E98" s="23">
        <v>30</v>
      </c>
      <c r="F98" s="22">
        <v>50</v>
      </c>
      <c r="G98" s="63"/>
      <c r="H98" s="63"/>
      <c r="I98" s="63"/>
      <c r="J98" s="63"/>
      <c r="K98" s="23"/>
    </row>
    <row r="99" spans="1:11" s="2" customFormat="1" ht="47.25" customHeight="1" x14ac:dyDescent="0.45">
      <c r="A99" s="21">
        <v>67</v>
      </c>
      <c r="B99" s="63" t="s">
        <v>131</v>
      </c>
      <c r="C99" s="23">
        <v>20</v>
      </c>
      <c r="D99" s="63" t="s">
        <v>18</v>
      </c>
      <c r="E99" s="23">
        <v>30</v>
      </c>
      <c r="F99" s="22">
        <v>50</v>
      </c>
      <c r="G99" s="63"/>
      <c r="H99" s="63"/>
      <c r="I99" s="63"/>
      <c r="J99" s="63"/>
      <c r="K99" s="23"/>
    </row>
    <row r="100" spans="1:11" s="2" customFormat="1" ht="24" customHeight="1" x14ac:dyDescent="0.45">
      <c r="A100" s="175" t="s">
        <v>14</v>
      </c>
      <c r="B100" s="175"/>
      <c r="C100" s="175"/>
      <c r="D100" s="175"/>
      <c r="E100" s="175"/>
      <c r="F100" s="59"/>
      <c r="G100" s="62"/>
      <c r="H100" s="62"/>
      <c r="I100" s="62"/>
      <c r="J100" s="62"/>
      <c r="K100" s="62"/>
    </row>
    <row r="101" spans="1:11" s="2" customFormat="1" ht="24" customHeight="1" x14ac:dyDescent="0.45">
      <c r="A101" s="200" t="s">
        <v>22</v>
      </c>
      <c r="B101" s="200"/>
      <c r="C101" s="200"/>
      <c r="D101" s="200"/>
      <c r="E101" s="200"/>
      <c r="F101" s="88"/>
      <c r="G101" s="88"/>
      <c r="H101" s="88"/>
      <c r="I101" s="88"/>
      <c r="J101" s="88"/>
      <c r="K101" s="88"/>
    </row>
    <row r="102" spans="1:11" s="2" customFormat="1" ht="27.75" customHeight="1" x14ac:dyDescent="0.45">
      <c r="A102" s="21"/>
      <c r="B102" s="22"/>
      <c r="C102" s="22"/>
      <c r="D102" s="22"/>
      <c r="E102" s="22"/>
      <c r="F102" s="21"/>
      <c r="G102" s="22"/>
      <c r="H102" s="22"/>
      <c r="I102" s="22"/>
      <c r="J102" s="22"/>
      <c r="K102" s="22"/>
    </row>
    <row r="103" spans="1:11" s="2" customFormat="1" ht="21.75" customHeight="1" x14ac:dyDescent="0.45">
      <c r="A103" s="175" t="s">
        <v>14</v>
      </c>
      <c r="B103" s="175"/>
      <c r="C103" s="175"/>
      <c r="D103" s="175"/>
      <c r="E103" s="175"/>
      <c r="F103" s="59">
        <f>SUM(F9:F102)</f>
        <v>6877.1904699999996</v>
      </c>
      <c r="G103" s="62"/>
      <c r="H103" s="62"/>
      <c r="I103" s="92"/>
      <c r="J103" s="92"/>
      <c r="K103" s="92"/>
    </row>
    <row r="104" spans="1:11" x14ac:dyDescent="0.5">
      <c r="A104" s="11"/>
      <c r="D104" s="3"/>
      <c r="E104" s="8"/>
      <c r="F104" s="12"/>
      <c r="G104" s="9"/>
      <c r="H104" s="9"/>
      <c r="I104" s="9"/>
      <c r="J104" s="9"/>
      <c r="K104" s="12"/>
    </row>
    <row r="105" spans="1:11" s="6" customFormat="1" x14ac:dyDescent="0.5">
      <c r="A105" s="11"/>
      <c r="D105" s="4"/>
      <c r="E105" s="5"/>
      <c r="F105" s="5"/>
      <c r="G105" s="5"/>
      <c r="H105" s="5"/>
      <c r="I105" s="5"/>
      <c r="J105" s="5"/>
      <c r="K105" s="3"/>
    </row>
  </sheetData>
  <mergeCells count="22">
    <mergeCell ref="A1:K1"/>
    <mergeCell ref="A2:K2"/>
    <mergeCell ref="G4:J4"/>
    <mergeCell ref="K4:K6"/>
    <mergeCell ref="E5:E6"/>
    <mergeCell ref="F5:F6"/>
    <mergeCell ref="E4:F4"/>
    <mergeCell ref="G5:H5"/>
    <mergeCell ref="I5:J5"/>
    <mergeCell ref="D4:D6"/>
    <mergeCell ref="C4:C6"/>
    <mergeCell ref="A4:A6"/>
    <mergeCell ref="A100:E100"/>
    <mergeCell ref="A103:E103"/>
    <mergeCell ref="A26:E26"/>
    <mergeCell ref="A3:K3"/>
    <mergeCell ref="A8:K8"/>
    <mergeCell ref="A31:E31"/>
    <mergeCell ref="B4:B6"/>
    <mergeCell ref="A27:E27"/>
    <mergeCell ref="A32:E32"/>
    <mergeCell ref="A101:E101"/>
  </mergeCells>
  <pageMargins left="0.25" right="0.25" top="0.45" bottom="0.44" header="0.3" footer="0.23"/>
  <pageSetup paperSize="9" scale="70" orientation="portrait" r:id="rId1"/>
  <headerFooter>
    <oddFooter xml:space="preserve">&amp;C &amp;R 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view="pageBreakPreview" topLeftCell="A28" zoomScale="89" zoomScaleNormal="78" zoomScaleSheetLayoutView="89" workbookViewId="0">
      <selection activeCell="F37" sqref="F37"/>
    </sheetView>
  </sheetViews>
  <sheetFormatPr defaultColWidth="9.140625" defaultRowHeight="24" x14ac:dyDescent="0.5"/>
  <cols>
    <col min="1" max="1" width="6" style="10" customWidth="1"/>
    <col min="2" max="2" width="56.85546875" style="1" customWidth="1"/>
    <col min="3" max="3" width="7.140625" style="1" customWidth="1"/>
    <col min="4" max="4" width="7.42578125" style="7" customWidth="1"/>
    <col min="5" max="5" width="8.42578125" style="1" customWidth="1"/>
    <col min="6" max="6" width="13.140625" style="1" customWidth="1"/>
    <col min="7" max="7" width="8.85546875" style="1" customWidth="1"/>
    <col min="8" max="8" width="7.42578125" style="1" customWidth="1"/>
    <col min="9" max="9" width="7.5703125" style="1" customWidth="1"/>
    <col min="10" max="10" width="8.140625" style="1" customWidth="1"/>
    <col min="11" max="11" width="10.140625" style="15" customWidth="1"/>
    <col min="12" max="16384" width="9.140625" style="1"/>
  </cols>
  <sheetData>
    <row r="1" spans="1:11" ht="52.5" customHeight="1" x14ac:dyDescent="0.5">
      <c r="A1" s="176" t="s">
        <v>13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s="18" customFormat="1" ht="23.25" customHeight="1" x14ac:dyDescent="0.65">
      <c r="A2" s="177" t="s">
        <v>11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</row>
    <row r="3" spans="1:11" ht="57.75" customHeight="1" x14ac:dyDescent="0.5">
      <c r="A3" s="178" t="s">
        <v>619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</row>
    <row r="4" spans="1:11" s="2" customFormat="1" ht="24.75" customHeight="1" x14ac:dyDescent="0.45">
      <c r="A4" s="179" t="s">
        <v>4</v>
      </c>
      <c r="B4" s="180" t="s">
        <v>5</v>
      </c>
      <c r="C4" s="179" t="s">
        <v>12</v>
      </c>
      <c r="D4" s="179" t="s">
        <v>0</v>
      </c>
      <c r="E4" s="180" t="s">
        <v>6</v>
      </c>
      <c r="F4" s="180"/>
      <c r="G4" s="180" t="s">
        <v>3</v>
      </c>
      <c r="H4" s="180"/>
      <c r="I4" s="180"/>
      <c r="J4" s="180"/>
      <c r="K4" s="179" t="s">
        <v>1</v>
      </c>
    </row>
    <row r="5" spans="1:11" s="2" customFormat="1" ht="19.5" customHeight="1" x14ac:dyDescent="0.45">
      <c r="A5" s="179"/>
      <c r="B5" s="180"/>
      <c r="C5" s="179"/>
      <c r="D5" s="179"/>
      <c r="E5" s="180" t="s">
        <v>7</v>
      </c>
      <c r="F5" s="186" t="s">
        <v>15</v>
      </c>
      <c r="G5" s="180" t="s">
        <v>8</v>
      </c>
      <c r="H5" s="180"/>
      <c r="I5" s="180" t="s">
        <v>2</v>
      </c>
      <c r="J5" s="180"/>
      <c r="K5" s="179"/>
    </row>
    <row r="6" spans="1:11" s="16" customFormat="1" ht="21" customHeight="1" x14ac:dyDescent="0.45">
      <c r="A6" s="179"/>
      <c r="B6" s="180"/>
      <c r="C6" s="179"/>
      <c r="D6" s="179"/>
      <c r="E6" s="180"/>
      <c r="F6" s="186"/>
      <c r="G6" s="128" t="s">
        <v>9</v>
      </c>
      <c r="H6" s="128" t="s">
        <v>10</v>
      </c>
      <c r="I6" s="128" t="s">
        <v>9</v>
      </c>
      <c r="J6" s="128" t="s">
        <v>10</v>
      </c>
      <c r="K6" s="179"/>
    </row>
    <row r="7" spans="1:11" s="17" customFormat="1" ht="24" customHeight="1" x14ac:dyDescent="0.45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1">
        <v>10</v>
      </c>
      <c r="K7" s="21">
        <v>11</v>
      </c>
    </row>
    <row r="8" spans="1:11" s="14" customFormat="1" ht="26.25" x14ac:dyDescent="0.45">
      <c r="A8" s="130"/>
      <c r="B8" s="131" t="s">
        <v>569</v>
      </c>
      <c r="C8" s="131"/>
      <c r="D8" s="132"/>
      <c r="E8" s="133"/>
      <c r="F8" s="153"/>
      <c r="G8" s="132"/>
      <c r="H8" s="132"/>
      <c r="I8" s="132"/>
      <c r="J8" s="132"/>
      <c r="K8" s="132"/>
    </row>
    <row r="9" spans="1:11" s="14" customFormat="1" ht="30" customHeight="1" x14ac:dyDescent="0.45">
      <c r="A9" s="130"/>
      <c r="B9" s="131" t="s">
        <v>570</v>
      </c>
      <c r="C9" s="131"/>
      <c r="D9" s="132"/>
      <c r="E9" s="133"/>
      <c r="F9" s="134"/>
      <c r="G9" s="132"/>
      <c r="H9" s="132"/>
      <c r="I9" s="132"/>
      <c r="J9" s="132"/>
      <c r="K9" s="132"/>
    </row>
    <row r="10" spans="1:11" s="14" customFormat="1" ht="45.75" customHeight="1" x14ac:dyDescent="0.45">
      <c r="A10" s="135">
        <v>1</v>
      </c>
      <c r="B10" s="65" t="s">
        <v>611</v>
      </c>
      <c r="C10" s="136">
        <v>1</v>
      </c>
      <c r="D10" s="137">
        <v>1</v>
      </c>
      <c r="E10" s="156"/>
      <c r="F10" s="154">
        <f>900000/1000</f>
        <v>900</v>
      </c>
      <c r="G10" s="132"/>
      <c r="H10" s="132"/>
      <c r="I10" s="132"/>
      <c r="J10" s="132"/>
      <c r="K10" s="132"/>
    </row>
    <row r="11" spans="1:11" s="14" customFormat="1" ht="34.5" customHeight="1" x14ac:dyDescent="0.45">
      <c r="A11" s="135">
        <v>2</v>
      </c>
      <c r="B11" s="65" t="s">
        <v>612</v>
      </c>
      <c r="C11" s="136">
        <v>3</v>
      </c>
      <c r="D11" s="132"/>
      <c r="E11" s="156"/>
      <c r="F11" s="154">
        <f>900000/1000</f>
        <v>900</v>
      </c>
      <c r="G11" s="132"/>
      <c r="H11" s="132"/>
      <c r="I11" s="132"/>
      <c r="J11" s="132"/>
      <c r="K11" s="132"/>
    </row>
    <row r="12" spans="1:11" s="14" customFormat="1" ht="41.25" customHeight="1" x14ac:dyDescent="0.45">
      <c r="A12" s="135">
        <v>3</v>
      </c>
      <c r="B12" s="65" t="s">
        <v>613</v>
      </c>
      <c r="C12" s="136">
        <v>14</v>
      </c>
      <c r="D12" s="132"/>
      <c r="E12" s="156"/>
      <c r="F12" s="154">
        <f>900000/1000</f>
        <v>900</v>
      </c>
      <c r="G12" s="132"/>
      <c r="H12" s="132"/>
      <c r="I12" s="132"/>
      <c r="J12" s="132"/>
      <c r="K12" s="139" t="s">
        <v>572</v>
      </c>
    </row>
    <row r="13" spans="1:11" s="14" customFormat="1" ht="34.5" customHeight="1" x14ac:dyDescent="0.45">
      <c r="A13" s="135">
        <v>4</v>
      </c>
      <c r="B13" s="141" t="s">
        <v>614</v>
      </c>
      <c r="C13" s="142">
        <v>12</v>
      </c>
      <c r="D13" s="143">
        <v>1</v>
      </c>
      <c r="E13" s="157"/>
      <c r="F13" s="158">
        <f>959000/1000</f>
        <v>959</v>
      </c>
      <c r="G13" s="146"/>
      <c r="H13" s="146"/>
      <c r="I13" s="146"/>
      <c r="J13" s="146"/>
      <c r="K13" s="146"/>
    </row>
    <row r="14" spans="1:11" s="14" customFormat="1" ht="38.25" customHeight="1" x14ac:dyDescent="0.45">
      <c r="A14" s="135">
        <v>5</v>
      </c>
      <c r="B14" s="65" t="s">
        <v>615</v>
      </c>
      <c r="C14" s="136">
        <v>1</v>
      </c>
      <c r="D14" s="132"/>
      <c r="E14" s="156"/>
      <c r="F14" s="154">
        <f>900000/1000</f>
        <v>900</v>
      </c>
      <c r="G14" s="132"/>
      <c r="H14" s="132"/>
      <c r="I14" s="132"/>
      <c r="J14" s="132"/>
      <c r="K14" s="132"/>
    </row>
    <row r="15" spans="1:11" s="14" customFormat="1" ht="23.25" customHeight="1" x14ac:dyDescent="0.45">
      <c r="A15" s="135" t="s">
        <v>572</v>
      </c>
      <c r="B15" s="131" t="s">
        <v>577</v>
      </c>
      <c r="C15" s="135"/>
      <c r="D15" s="132"/>
      <c r="E15" s="156"/>
      <c r="F15" s="159"/>
      <c r="G15" s="132"/>
      <c r="H15" s="132"/>
      <c r="I15" s="132"/>
      <c r="J15" s="132"/>
      <c r="K15" s="132"/>
    </row>
    <row r="16" spans="1:11" s="14" customFormat="1" ht="35.25" customHeight="1" x14ac:dyDescent="0.45">
      <c r="A16" s="147">
        <v>1</v>
      </c>
      <c r="B16" s="148" t="s">
        <v>598</v>
      </c>
      <c r="C16" s="147" t="s">
        <v>599</v>
      </c>
      <c r="D16" s="149"/>
      <c r="E16" s="160">
        <v>20</v>
      </c>
      <c r="F16" s="161">
        <f>200000/1000</f>
        <v>200</v>
      </c>
      <c r="G16" s="149"/>
      <c r="H16" s="149"/>
      <c r="I16" s="149"/>
      <c r="J16" s="149"/>
      <c r="K16" s="150" t="s">
        <v>572</v>
      </c>
    </row>
    <row r="17" spans="1:11" s="14" customFormat="1" ht="32.25" customHeight="1" x14ac:dyDescent="0.45">
      <c r="A17" s="135">
        <v>2</v>
      </c>
      <c r="B17" s="25" t="s">
        <v>600</v>
      </c>
      <c r="C17" s="135" t="s">
        <v>601</v>
      </c>
      <c r="D17" s="132"/>
      <c r="E17" s="160">
        <v>10</v>
      </c>
      <c r="F17" s="154">
        <f>100000/1000</f>
        <v>100</v>
      </c>
      <c r="G17" s="132"/>
      <c r="H17" s="132"/>
      <c r="I17" s="132"/>
      <c r="J17" s="132"/>
      <c r="K17" s="132"/>
    </row>
    <row r="18" spans="1:11" s="14" customFormat="1" ht="32.25" customHeight="1" x14ac:dyDescent="0.45">
      <c r="A18" s="147">
        <v>3</v>
      </c>
      <c r="B18" s="25" t="s">
        <v>602</v>
      </c>
      <c r="C18" s="155" t="s">
        <v>591</v>
      </c>
      <c r="D18" s="132"/>
      <c r="E18" s="160">
        <v>20</v>
      </c>
      <c r="F18" s="154">
        <f>200000/1000</f>
        <v>200</v>
      </c>
      <c r="G18" s="132"/>
      <c r="H18" s="132"/>
      <c r="I18" s="132"/>
      <c r="J18" s="132"/>
      <c r="K18" s="151" t="s">
        <v>572</v>
      </c>
    </row>
    <row r="19" spans="1:11" s="14" customFormat="1" ht="45" customHeight="1" x14ac:dyDescent="0.45">
      <c r="A19" s="135">
        <v>4</v>
      </c>
      <c r="B19" s="65" t="s">
        <v>603</v>
      </c>
      <c r="C19" s="135" t="s">
        <v>579</v>
      </c>
      <c r="D19" s="132"/>
      <c r="E19" s="160">
        <v>20</v>
      </c>
      <c r="F19" s="154">
        <f>200000/1000</f>
        <v>200</v>
      </c>
      <c r="G19" s="132"/>
      <c r="H19" s="132"/>
      <c r="I19" s="132"/>
      <c r="J19" s="132"/>
      <c r="K19" s="151"/>
    </row>
    <row r="20" spans="1:11" s="14" customFormat="1" ht="39" customHeight="1" x14ac:dyDescent="0.45">
      <c r="A20" s="147">
        <v>5</v>
      </c>
      <c r="B20" s="65" t="s">
        <v>604</v>
      </c>
      <c r="C20" s="135" t="s">
        <v>591</v>
      </c>
      <c r="D20" s="132"/>
      <c r="E20" s="160">
        <v>35</v>
      </c>
      <c r="F20" s="154">
        <f>300000/1000</f>
        <v>300</v>
      </c>
      <c r="G20" s="132"/>
      <c r="H20" s="132"/>
      <c r="I20" s="132"/>
      <c r="J20" s="132"/>
      <c r="K20" s="151"/>
    </row>
    <row r="21" spans="1:11" s="14" customFormat="1" ht="41.25" customHeight="1" x14ac:dyDescent="0.45">
      <c r="A21" s="135">
        <v>6</v>
      </c>
      <c r="B21" s="25" t="s">
        <v>605</v>
      </c>
      <c r="C21" s="135" t="s">
        <v>579</v>
      </c>
      <c r="D21" s="132"/>
      <c r="E21" s="160">
        <v>20</v>
      </c>
      <c r="F21" s="154">
        <f>300000/1000</f>
        <v>300</v>
      </c>
      <c r="G21" s="132"/>
      <c r="H21" s="132"/>
      <c r="I21" s="132"/>
      <c r="J21" s="132"/>
      <c r="K21" s="151"/>
    </row>
    <row r="22" spans="1:11" s="14" customFormat="1" ht="37.5" customHeight="1" x14ac:dyDescent="0.45">
      <c r="A22" s="147">
        <v>7</v>
      </c>
      <c r="B22" s="25" t="s">
        <v>606</v>
      </c>
      <c r="C22" s="135" t="s">
        <v>579</v>
      </c>
      <c r="D22" s="132"/>
      <c r="E22" s="160">
        <v>20</v>
      </c>
      <c r="F22" s="154">
        <f>100000/1000</f>
        <v>100</v>
      </c>
      <c r="G22" s="132"/>
      <c r="H22" s="132"/>
      <c r="I22" s="132"/>
      <c r="J22" s="132"/>
      <c r="K22" s="151"/>
    </row>
    <row r="23" spans="1:11" s="14" customFormat="1" ht="33.75" customHeight="1" x14ac:dyDescent="0.45">
      <c r="A23" s="135">
        <v>8</v>
      </c>
      <c r="B23" s="25" t="s">
        <v>607</v>
      </c>
      <c r="C23" s="135" t="s">
        <v>579</v>
      </c>
      <c r="D23" s="132"/>
      <c r="E23" s="160">
        <v>2</v>
      </c>
      <c r="F23" s="154">
        <f>100000/1000</f>
        <v>100</v>
      </c>
      <c r="G23" s="132"/>
      <c r="H23" s="132"/>
      <c r="I23" s="132"/>
      <c r="J23" s="132"/>
      <c r="K23" s="151"/>
    </row>
    <row r="24" spans="1:11" s="14" customFormat="1" ht="35.25" customHeight="1" x14ac:dyDescent="0.45">
      <c r="A24" s="147">
        <v>9</v>
      </c>
      <c r="B24" s="25" t="s">
        <v>608</v>
      </c>
      <c r="C24" s="135" t="s">
        <v>579</v>
      </c>
      <c r="D24" s="132"/>
      <c r="E24" s="160">
        <v>1</v>
      </c>
      <c r="F24" s="154">
        <f>50000/1000</f>
        <v>50</v>
      </c>
      <c r="G24" s="132"/>
      <c r="H24" s="132"/>
      <c r="I24" s="132"/>
      <c r="J24" s="132"/>
      <c r="K24" s="151"/>
    </row>
    <row r="25" spans="1:11" s="14" customFormat="1" ht="33" customHeight="1" x14ac:dyDescent="0.45">
      <c r="A25" s="135">
        <v>10</v>
      </c>
      <c r="B25" s="25" t="s">
        <v>617</v>
      </c>
      <c r="C25" s="135" t="s">
        <v>579</v>
      </c>
      <c r="D25" s="132"/>
      <c r="E25" s="160">
        <v>20</v>
      </c>
      <c r="F25" s="154">
        <f>200000/1000</f>
        <v>200</v>
      </c>
      <c r="G25" s="132"/>
      <c r="H25" s="132"/>
      <c r="I25" s="132"/>
      <c r="J25" s="132"/>
      <c r="K25" s="151" t="s">
        <v>572</v>
      </c>
    </row>
    <row r="26" spans="1:11" s="14" customFormat="1" ht="34.5" customHeight="1" x14ac:dyDescent="0.45">
      <c r="A26" s="147">
        <v>11</v>
      </c>
      <c r="B26" s="25" t="s">
        <v>616</v>
      </c>
      <c r="C26" s="135" t="s">
        <v>591</v>
      </c>
      <c r="D26" s="132"/>
      <c r="E26" s="160">
        <v>20</v>
      </c>
      <c r="F26" s="154">
        <f>100000/1000</f>
        <v>100</v>
      </c>
      <c r="G26" s="132"/>
      <c r="H26" s="132"/>
      <c r="I26" s="132"/>
      <c r="J26" s="132"/>
      <c r="K26" s="151"/>
    </row>
    <row r="27" spans="1:11" s="14" customFormat="1" ht="35.25" customHeight="1" x14ac:dyDescent="0.45">
      <c r="A27" s="135">
        <v>12</v>
      </c>
      <c r="B27" s="25" t="s">
        <v>609</v>
      </c>
      <c r="C27" s="135">
        <v>20</v>
      </c>
      <c r="D27" s="132"/>
      <c r="E27" s="160">
        <v>1</v>
      </c>
      <c r="F27" s="154">
        <f>532000/1000</f>
        <v>532</v>
      </c>
      <c r="G27" s="132"/>
      <c r="H27" s="132"/>
      <c r="I27" s="132"/>
      <c r="J27" s="132"/>
      <c r="K27" s="151"/>
    </row>
    <row r="28" spans="1:11" s="14" customFormat="1" ht="35.25" customHeight="1" x14ac:dyDescent="0.45">
      <c r="A28" s="147">
        <v>13</v>
      </c>
      <c r="B28" s="25" t="s">
        <v>585</v>
      </c>
      <c r="C28" s="135" t="s">
        <v>579</v>
      </c>
      <c r="D28" s="132"/>
      <c r="E28" s="160">
        <v>1</v>
      </c>
      <c r="F28" s="154">
        <f>800000/1000</f>
        <v>800</v>
      </c>
      <c r="G28" s="132"/>
      <c r="H28" s="132"/>
      <c r="I28" s="132"/>
      <c r="J28" s="132"/>
      <c r="K28" s="151"/>
    </row>
    <row r="29" spans="1:11" s="14" customFormat="1" ht="36.75" customHeight="1" x14ac:dyDescent="0.45">
      <c r="A29" s="135">
        <v>14</v>
      </c>
      <c r="B29" s="25" t="s">
        <v>610</v>
      </c>
      <c r="C29" s="135" t="s">
        <v>579</v>
      </c>
      <c r="D29" s="132"/>
      <c r="E29" s="160">
        <v>4</v>
      </c>
      <c r="F29" s="154">
        <f>300000/1000</f>
        <v>300</v>
      </c>
      <c r="G29" s="132"/>
      <c r="H29" s="132"/>
      <c r="I29" s="132"/>
      <c r="J29" s="132"/>
      <c r="K29" s="151"/>
    </row>
    <row r="30" spans="1:11" s="14" customFormat="1" ht="49.5" x14ac:dyDescent="0.45">
      <c r="A30" s="147">
        <v>15</v>
      </c>
      <c r="B30" s="25" t="s">
        <v>592</v>
      </c>
      <c r="C30" s="135" t="s">
        <v>579</v>
      </c>
      <c r="D30" s="146"/>
      <c r="E30" s="160">
        <v>1</v>
      </c>
      <c r="F30" s="158">
        <f>100000/1000</f>
        <v>100</v>
      </c>
      <c r="G30" s="132"/>
      <c r="H30" s="132"/>
      <c r="I30" s="132"/>
      <c r="J30" s="132"/>
      <c r="K30" s="151"/>
    </row>
    <row r="31" spans="1:11" s="14" customFormat="1" ht="30" customHeight="1" x14ac:dyDescent="0.45">
      <c r="A31" s="135">
        <v>16</v>
      </c>
      <c r="B31" s="25" t="s">
        <v>594</v>
      </c>
      <c r="C31" s="135" t="s">
        <v>579</v>
      </c>
      <c r="D31" s="132"/>
      <c r="E31" s="160">
        <v>1</v>
      </c>
      <c r="F31" s="154">
        <f>100000/1000</f>
        <v>100</v>
      </c>
      <c r="G31" s="132"/>
      <c r="H31" s="132"/>
      <c r="I31" s="132"/>
      <c r="J31" s="132"/>
      <c r="K31" s="151" t="s">
        <v>572</v>
      </c>
    </row>
    <row r="32" spans="1:11" s="2" customFormat="1" ht="24.75" customHeight="1" x14ac:dyDescent="0.45">
      <c r="A32" s="175" t="s">
        <v>14</v>
      </c>
      <c r="B32" s="175"/>
      <c r="C32" s="175"/>
      <c r="D32" s="175"/>
      <c r="E32" s="175"/>
      <c r="F32" s="127">
        <f>SUM(F8:F31)</f>
        <v>8241</v>
      </c>
      <c r="G32" s="183" t="s">
        <v>618</v>
      </c>
      <c r="H32" s="184"/>
      <c r="I32" s="184"/>
      <c r="J32" s="184"/>
      <c r="K32" s="185"/>
    </row>
    <row r="33" spans="1:11" x14ac:dyDescent="0.5">
      <c r="A33" s="11"/>
      <c r="D33" s="3"/>
      <c r="E33" s="8"/>
      <c r="F33" s="12"/>
      <c r="G33" s="9"/>
      <c r="H33" s="9"/>
      <c r="I33" s="9"/>
      <c r="J33" s="9"/>
      <c r="K33" s="12"/>
    </row>
    <row r="34" spans="1:11" s="6" customFormat="1" x14ac:dyDescent="0.5">
      <c r="A34" s="11"/>
      <c r="D34" s="4"/>
      <c r="E34" s="5"/>
      <c r="F34" s="5"/>
      <c r="G34" s="5"/>
      <c r="H34" s="5"/>
      <c r="I34" s="5"/>
      <c r="J34" s="5"/>
      <c r="K34" s="3"/>
    </row>
  </sheetData>
  <mergeCells count="16">
    <mergeCell ref="A32:E32"/>
    <mergeCell ref="G32:K32"/>
    <mergeCell ref="A1:K1"/>
    <mergeCell ref="A2:K2"/>
    <mergeCell ref="A3:K3"/>
    <mergeCell ref="A4:A6"/>
    <mergeCell ref="B4:B6"/>
    <mergeCell ref="C4:C6"/>
    <mergeCell ref="D4:D6"/>
    <mergeCell ref="E4:F4"/>
    <mergeCell ref="G4:J4"/>
    <mergeCell ref="K4:K6"/>
    <mergeCell ref="E5:E6"/>
    <mergeCell ref="F5:F6"/>
    <mergeCell ref="G5:H5"/>
    <mergeCell ref="I5:J5"/>
  </mergeCells>
  <pageMargins left="0.25" right="0.25" top="0.75" bottom="0.52" header="0.3" footer="0.3"/>
  <pageSetup paperSize="9" scale="70" orientation="portrait" r:id="rId1"/>
  <headerFooter>
    <oddFooter xml:space="preserve">&amp;C &amp;R                  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view="pageBreakPreview" topLeftCell="A22" zoomScale="89" zoomScaleNormal="78" zoomScaleSheetLayoutView="89" workbookViewId="0">
      <selection activeCell="H29" sqref="H29"/>
    </sheetView>
  </sheetViews>
  <sheetFormatPr defaultColWidth="9.140625" defaultRowHeight="24" x14ac:dyDescent="0.5"/>
  <cols>
    <col min="1" max="1" width="6" style="10" customWidth="1"/>
    <col min="2" max="2" width="56.85546875" style="1" customWidth="1"/>
    <col min="3" max="3" width="7.140625" style="1" customWidth="1"/>
    <col min="4" max="4" width="7.42578125" style="7" customWidth="1"/>
    <col min="5" max="5" width="8.42578125" style="1" customWidth="1"/>
    <col min="6" max="6" width="13.140625" style="170" customWidth="1"/>
    <col min="7" max="7" width="8.85546875" style="1" customWidth="1"/>
    <col min="8" max="8" width="7.42578125" style="1" customWidth="1"/>
    <col min="9" max="9" width="7.5703125" style="1" customWidth="1"/>
    <col min="10" max="10" width="8.140625" style="1" customWidth="1"/>
    <col min="11" max="11" width="10.140625" style="15" customWidth="1"/>
    <col min="12" max="16384" width="9.140625" style="1"/>
  </cols>
  <sheetData>
    <row r="1" spans="1:11" ht="52.5" customHeight="1" x14ac:dyDescent="0.5">
      <c r="A1" s="176" t="s">
        <v>13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s="18" customFormat="1" ht="23.25" customHeight="1" x14ac:dyDescent="0.65">
      <c r="A2" s="177" t="s">
        <v>11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</row>
    <row r="3" spans="1:11" ht="57.75" customHeight="1" x14ac:dyDescent="0.5">
      <c r="A3" s="178" t="s">
        <v>597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</row>
    <row r="4" spans="1:11" s="2" customFormat="1" ht="24.75" customHeight="1" x14ac:dyDescent="0.45">
      <c r="A4" s="179" t="s">
        <v>4</v>
      </c>
      <c r="B4" s="180" t="s">
        <v>5</v>
      </c>
      <c r="C4" s="179" t="s">
        <v>12</v>
      </c>
      <c r="D4" s="179" t="s">
        <v>0</v>
      </c>
      <c r="E4" s="180" t="s">
        <v>6</v>
      </c>
      <c r="F4" s="180"/>
      <c r="G4" s="180" t="s">
        <v>3</v>
      </c>
      <c r="H4" s="180"/>
      <c r="I4" s="180"/>
      <c r="J4" s="180"/>
      <c r="K4" s="179" t="s">
        <v>1</v>
      </c>
    </row>
    <row r="5" spans="1:11" s="2" customFormat="1" ht="19.5" customHeight="1" x14ac:dyDescent="0.45">
      <c r="A5" s="179"/>
      <c r="B5" s="180"/>
      <c r="C5" s="179"/>
      <c r="D5" s="179"/>
      <c r="E5" s="180" t="s">
        <v>7</v>
      </c>
      <c r="F5" s="187" t="s">
        <v>15</v>
      </c>
      <c r="G5" s="180" t="s">
        <v>8</v>
      </c>
      <c r="H5" s="180"/>
      <c r="I5" s="180" t="s">
        <v>2</v>
      </c>
      <c r="J5" s="180"/>
      <c r="K5" s="179"/>
    </row>
    <row r="6" spans="1:11" s="16" customFormat="1" ht="21" customHeight="1" x14ac:dyDescent="0.45">
      <c r="A6" s="179"/>
      <c r="B6" s="180"/>
      <c r="C6" s="179"/>
      <c r="D6" s="179"/>
      <c r="E6" s="180"/>
      <c r="F6" s="187"/>
      <c r="G6" s="128" t="s">
        <v>9</v>
      </c>
      <c r="H6" s="128" t="s">
        <v>10</v>
      </c>
      <c r="I6" s="128" t="s">
        <v>9</v>
      </c>
      <c r="J6" s="128" t="s">
        <v>10</v>
      </c>
      <c r="K6" s="179"/>
    </row>
    <row r="7" spans="1:11" s="17" customFormat="1" ht="24" customHeight="1" x14ac:dyDescent="0.45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33">
        <v>6</v>
      </c>
      <c r="G7" s="21">
        <v>7</v>
      </c>
      <c r="H7" s="21">
        <v>8</v>
      </c>
      <c r="I7" s="21">
        <v>9</v>
      </c>
      <c r="J7" s="21">
        <v>10</v>
      </c>
      <c r="K7" s="21">
        <v>11</v>
      </c>
    </row>
    <row r="8" spans="1:11" s="14" customFormat="1" ht="26.25" x14ac:dyDescent="0.45">
      <c r="A8" s="130"/>
      <c r="B8" s="131" t="s">
        <v>569</v>
      </c>
      <c r="C8" s="131"/>
      <c r="D8" s="132"/>
      <c r="E8" s="133"/>
      <c r="F8" s="164"/>
      <c r="G8" s="132"/>
      <c r="H8" s="132"/>
      <c r="I8" s="132"/>
      <c r="J8" s="132"/>
      <c r="K8" s="132"/>
    </row>
    <row r="9" spans="1:11" s="14" customFormat="1" ht="30" customHeight="1" x14ac:dyDescent="0.45">
      <c r="A9" s="130"/>
      <c r="B9" s="131" t="s">
        <v>570</v>
      </c>
      <c r="C9" s="131"/>
      <c r="D9" s="132"/>
      <c r="E9" s="133"/>
      <c r="F9" s="165"/>
      <c r="G9" s="132"/>
      <c r="H9" s="132"/>
      <c r="I9" s="132"/>
      <c r="J9" s="132"/>
      <c r="K9" s="132"/>
    </row>
    <row r="10" spans="1:11" s="14" customFormat="1" ht="45.75" customHeight="1" x14ac:dyDescent="0.45">
      <c r="A10" s="135">
        <v>1</v>
      </c>
      <c r="B10" s="65" t="s">
        <v>571</v>
      </c>
      <c r="C10" s="136">
        <v>2</v>
      </c>
      <c r="D10" s="137" t="s">
        <v>572</v>
      </c>
      <c r="E10" s="133"/>
      <c r="F10" s="138">
        <f>1048570/1000</f>
        <v>1048.57</v>
      </c>
      <c r="G10" s="132"/>
      <c r="H10" s="132"/>
      <c r="I10" s="132"/>
      <c r="J10" s="132"/>
      <c r="K10" s="132"/>
    </row>
    <row r="11" spans="1:11" s="14" customFormat="1" ht="34.5" customHeight="1" x14ac:dyDescent="0.45">
      <c r="A11" s="135">
        <v>2</v>
      </c>
      <c r="B11" s="65" t="s">
        <v>573</v>
      </c>
      <c r="C11" s="136">
        <v>9</v>
      </c>
      <c r="D11" s="132"/>
      <c r="E11" s="133"/>
      <c r="F11" s="138">
        <f>1048570/1000</f>
        <v>1048.57</v>
      </c>
      <c r="G11" s="132"/>
      <c r="H11" s="132"/>
      <c r="I11" s="132"/>
      <c r="J11" s="132"/>
      <c r="K11" s="132"/>
    </row>
    <row r="12" spans="1:11" s="14" customFormat="1" ht="41.25" customHeight="1" x14ac:dyDescent="0.45">
      <c r="A12" s="135">
        <v>3</v>
      </c>
      <c r="B12" s="65" t="s">
        <v>574</v>
      </c>
      <c r="C12" s="136">
        <v>11</v>
      </c>
      <c r="D12" s="132"/>
      <c r="E12" s="133"/>
      <c r="F12" s="138">
        <f>1048570/1000</f>
        <v>1048.57</v>
      </c>
      <c r="G12" s="132"/>
      <c r="H12" s="132"/>
      <c r="I12" s="132"/>
      <c r="J12" s="132"/>
      <c r="K12" s="139" t="s">
        <v>572</v>
      </c>
    </row>
    <row r="13" spans="1:11" s="14" customFormat="1" ht="34.5" customHeight="1" x14ac:dyDescent="0.45">
      <c r="A13" s="140">
        <v>4</v>
      </c>
      <c r="B13" s="141" t="s">
        <v>575</v>
      </c>
      <c r="C13" s="142">
        <v>19</v>
      </c>
      <c r="D13" s="143" t="s">
        <v>572</v>
      </c>
      <c r="E13" s="144"/>
      <c r="F13" s="145">
        <f>1048570/1000</f>
        <v>1048.57</v>
      </c>
      <c r="G13" s="146"/>
      <c r="H13" s="146"/>
      <c r="I13" s="146"/>
      <c r="J13" s="146"/>
      <c r="K13" s="146"/>
    </row>
    <row r="14" spans="1:11" s="14" customFormat="1" ht="38.25" customHeight="1" x14ac:dyDescent="0.45">
      <c r="A14" s="135">
        <v>5</v>
      </c>
      <c r="B14" s="65" t="s">
        <v>576</v>
      </c>
      <c r="C14" s="136">
        <v>20</v>
      </c>
      <c r="D14" s="132"/>
      <c r="E14" s="133"/>
      <c r="F14" s="138">
        <f>1048570/1000</f>
        <v>1048.57</v>
      </c>
      <c r="G14" s="132"/>
      <c r="H14" s="132"/>
      <c r="I14" s="132"/>
      <c r="J14" s="132"/>
      <c r="K14" s="132"/>
    </row>
    <row r="15" spans="1:11" s="14" customFormat="1" ht="23.25" customHeight="1" x14ac:dyDescent="0.45">
      <c r="A15" s="135" t="s">
        <v>572</v>
      </c>
      <c r="B15" s="131" t="s">
        <v>577</v>
      </c>
      <c r="C15" s="135"/>
      <c r="D15" s="132"/>
      <c r="E15" s="133"/>
      <c r="F15" s="166"/>
      <c r="G15" s="132"/>
      <c r="H15" s="132"/>
      <c r="I15" s="132"/>
      <c r="J15" s="132"/>
      <c r="K15" s="132"/>
    </row>
    <row r="16" spans="1:11" s="14" customFormat="1" ht="35.25" customHeight="1" x14ac:dyDescent="0.45">
      <c r="A16" s="147">
        <v>1</v>
      </c>
      <c r="B16" s="148" t="s">
        <v>578</v>
      </c>
      <c r="C16" s="125" t="s">
        <v>579</v>
      </c>
      <c r="D16" s="149"/>
      <c r="E16" s="147">
        <v>40</v>
      </c>
      <c r="F16" s="167">
        <f>550000/1000</f>
        <v>550</v>
      </c>
      <c r="G16" s="149"/>
      <c r="H16" s="149"/>
      <c r="I16" s="149"/>
      <c r="J16" s="149"/>
      <c r="K16" s="150" t="s">
        <v>572</v>
      </c>
    </row>
    <row r="17" spans="1:11" s="14" customFormat="1" ht="32.25" customHeight="1" x14ac:dyDescent="0.45">
      <c r="A17" s="135">
        <v>2</v>
      </c>
      <c r="B17" s="25" t="s">
        <v>580</v>
      </c>
      <c r="C17" s="125" t="s">
        <v>579</v>
      </c>
      <c r="D17" s="132"/>
      <c r="E17" s="147">
        <v>40</v>
      </c>
      <c r="F17" s="138">
        <f>100000/1000</f>
        <v>100</v>
      </c>
      <c r="G17" s="132"/>
      <c r="H17" s="132"/>
      <c r="I17" s="132"/>
      <c r="J17" s="132"/>
      <c r="K17" s="132"/>
    </row>
    <row r="18" spans="1:11" s="14" customFormat="1" ht="32.25" customHeight="1" x14ac:dyDescent="0.45">
      <c r="A18" s="147">
        <v>3</v>
      </c>
      <c r="B18" s="25" t="s">
        <v>581</v>
      </c>
      <c r="C18" s="125" t="s">
        <v>579</v>
      </c>
      <c r="D18" s="132"/>
      <c r="E18" s="147">
        <v>40</v>
      </c>
      <c r="F18" s="138">
        <f>100000/1000</f>
        <v>100</v>
      </c>
      <c r="G18" s="132"/>
      <c r="H18" s="132"/>
      <c r="I18" s="132"/>
      <c r="J18" s="132"/>
      <c r="K18" s="151" t="s">
        <v>572</v>
      </c>
    </row>
    <row r="19" spans="1:11" s="14" customFormat="1" ht="45" customHeight="1" x14ac:dyDescent="0.45">
      <c r="A19" s="135">
        <v>4</v>
      </c>
      <c r="B19" s="65" t="s">
        <v>582</v>
      </c>
      <c r="C19" s="125" t="s">
        <v>579</v>
      </c>
      <c r="D19" s="132"/>
      <c r="E19" s="147">
        <v>20</v>
      </c>
      <c r="F19" s="138">
        <f>50000/1000</f>
        <v>50</v>
      </c>
      <c r="G19" s="132"/>
      <c r="H19" s="132"/>
      <c r="I19" s="132"/>
      <c r="J19" s="132"/>
      <c r="K19" s="151"/>
    </row>
    <row r="20" spans="1:11" s="14" customFormat="1" ht="39" customHeight="1" x14ac:dyDescent="0.45">
      <c r="A20" s="147">
        <v>5</v>
      </c>
      <c r="B20" s="65" t="s">
        <v>583</v>
      </c>
      <c r="C20" s="125" t="s">
        <v>579</v>
      </c>
      <c r="D20" s="132"/>
      <c r="E20" s="147"/>
      <c r="F20" s="138">
        <f>400000/1000</f>
        <v>400</v>
      </c>
      <c r="G20" s="132"/>
      <c r="H20" s="132"/>
      <c r="I20" s="132"/>
      <c r="J20" s="132"/>
      <c r="K20" s="151"/>
    </row>
    <row r="21" spans="1:11" s="14" customFormat="1" ht="41.25" customHeight="1" x14ac:dyDescent="0.45">
      <c r="A21" s="135">
        <v>6</v>
      </c>
      <c r="B21" s="25" t="s">
        <v>584</v>
      </c>
      <c r="C21" s="125" t="s">
        <v>579</v>
      </c>
      <c r="D21" s="132"/>
      <c r="E21" s="147">
        <v>20</v>
      </c>
      <c r="F21" s="138">
        <f>100000/1000</f>
        <v>100</v>
      </c>
      <c r="G21" s="132"/>
      <c r="H21" s="132"/>
      <c r="I21" s="132"/>
      <c r="J21" s="132"/>
      <c r="K21" s="151"/>
    </row>
    <row r="22" spans="1:11" s="14" customFormat="1" ht="37.5" customHeight="1" x14ac:dyDescent="0.45">
      <c r="A22" s="147">
        <v>7</v>
      </c>
      <c r="B22" s="25" t="s">
        <v>585</v>
      </c>
      <c r="C22" s="125" t="s">
        <v>579</v>
      </c>
      <c r="D22" s="132"/>
      <c r="E22" s="152"/>
      <c r="F22" s="138">
        <f>850000/1000</f>
        <v>850</v>
      </c>
      <c r="G22" s="132"/>
      <c r="H22" s="132"/>
      <c r="I22" s="132"/>
      <c r="J22" s="132"/>
      <c r="K22" s="151"/>
    </row>
    <row r="23" spans="1:11" s="14" customFormat="1" ht="33.75" customHeight="1" x14ac:dyDescent="0.45">
      <c r="A23" s="135">
        <v>8</v>
      </c>
      <c r="B23" s="25" t="s">
        <v>586</v>
      </c>
      <c r="C23" s="125" t="s">
        <v>579</v>
      </c>
      <c r="D23" s="132"/>
      <c r="E23" s="147">
        <v>20</v>
      </c>
      <c r="F23" s="138">
        <f>100000/1000</f>
        <v>100</v>
      </c>
      <c r="G23" s="132"/>
      <c r="H23" s="132"/>
      <c r="I23" s="132"/>
      <c r="J23" s="132"/>
      <c r="K23" s="151"/>
    </row>
    <row r="24" spans="1:11" s="14" customFormat="1" ht="35.25" customHeight="1" x14ac:dyDescent="0.45">
      <c r="A24" s="147">
        <v>9</v>
      </c>
      <c r="B24" s="25" t="s">
        <v>587</v>
      </c>
      <c r="C24" s="125" t="s">
        <v>579</v>
      </c>
      <c r="D24" s="132"/>
      <c r="E24" s="147">
        <v>20</v>
      </c>
      <c r="F24" s="138">
        <f>200000/1000</f>
        <v>200</v>
      </c>
      <c r="G24" s="132"/>
      <c r="H24" s="132"/>
      <c r="I24" s="132"/>
      <c r="J24" s="132"/>
      <c r="K24" s="151"/>
    </row>
    <row r="25" spans="1:11" s="14" customFormat="1" ht="33" customHeight="1" x14ac:dyDescent="0.45">
      <c r="A25" s="135">
        <v>10</v>
      </c>
      <c r="B25" s="65" t="s">
        <v>588</v>
      </c>
      <c r="C25" s="125" t="s">
        <v>579</v>
      </c>
      <c r="D25" s="132"/>
      <c r="E25" s="147">
        <v>35</v>
      </c>
      <c r="F25" s="138">
        <f>350000/1000</f>
        <v>350</v>
      </c>
      <c r="G25" s="132"/>
      <c r="H25" s="132"/>
      <c r="I25" s="132"/>
      <c r="J25" s="132"/>
      <c r="K25" s="151" t="s">
        <v>572</v>
      </c>
    </row>
    <row r="26" spans="1:11" s="14" customFormat="1" ht="39" customHeight="1" x14ac:dyDescent="0.45">
      <c r="A26" s="147">
        <v>11</v>
      </c>
      <c r="B26" s="148" t="s">
        <v>589</v>
      </c>
      <c r="C26" s="125" t="s">
        <v>579</v>
      </c>
      <c r="D26" s="132"/>
      <c r="E26" s="147">
        <v>20</v>
      </c>
      <c r="F26" s="138">
        <f>200000/1000</f>
        <v>200</v>
      </c>
      <c r="G26" s="132"/>
      <c r="H26" s="132"/>
      <c r="I26" s="132"/>
      <c r="J26" s="132"/>
      <c r="K26" s="151"/>
    </row>
    <row r="27" spans="1:11" s="14" customFormat="1" ht="35.25" customHeight="1" x14ac:dyDescent="0.45">
      <c r="A27" s="135">
        <v>12</v>
      </c>
      <c r="B27" s="25" t="s">
        <v>590</v>
      </c>
      <c r="C27" s="135" t="s">
        <v>591</v>
      </c>
      <c r="D27" s="132"/>
      <c r="E27" s="147">
        <v>4</v>
      </c>
      <c r="F27" s="138">
        <f>688300/1000</f>
        <v>688.3</v>
      </c>
      <c r="G27" s="132"/>
      <c r="H27" s="132"/>
      <c r="I27" s="132"/>
      <c r="J27" s="132"/>
      <c r="K27" s="151"/>
    </row>
    <row r="28" spans="1:11" s="14" customFormat="1" ht="49.5" customHeight="1" x14ac:dyDescent="0.45">
      <c r="A28" s="147">
        <v>13</v>
      </c>
      <c r="B28" s="25" t="s">
        <v>592</v>
      </c>
      <c r="C28" s="135" t="s">
        <v>579</v>
      </c>
      <c r="D28" s="132"/>
      <c r="E28" s="147">
        <v>1</v>
      </c>
      <c r="F28" s="138">
        <f>144000/1000</f>
        <v>144</v>
      </c>
      <c r="G28" s="132"/>
      <c r="H28" s="132"/>
      <c r="I28" s="132"/>
      <c r="J28" s="132"/>
      <c r="K28" s="151"/>
    </row>
    <row r="29" spans="1:11" s="14" customFormat="1" ht="36.75" customHeight="1" x14ac:dyDescent="0.45">
      <c r="A29" s="135">
        <v>14</v>
      </c>
      <c r="B29" s="25" t="s">
        <v>593</v>
      </c>
      <c r="C29" s="135" t="s">
        <v>579</v>
      </c>
      <c r="D29" s="132"/>
      <c r="E29" s="147">
        <v>1</v>
      </c>
      <c r="F29" s="138">
        <f>100000/1000</f>
        <v>100</v>
      </c>
      <c r="G29" s="132"/>
      <c r="H29" s="132"/>
      <c r="I29" s="132"/>
      <c r="J29" s="132"/>
      <c r="K29" s="151"/>
    </row>
    <row r="30" spans="1:11" s="14" customFormat="1" ht="31.5" customHeight="1" x14ac:dyDescent="0.45">
      <c r="A30" s="147">
        <v>15</v>
      </c>
      <c r="B30" s="25" t="s">
        <v>594</v>
      </c>
      <c r="C30" s="135" t="s">
        <v>579</v>
      </c>
      <c r="D30" s="132"/>
      <c r="E30" s="147">
        <v>1</v>
      </c>
      <c r="F30" s="138">
        <f>400000/1000</f>
        <v>400</v>
      </c>
      <c r="G30" s="132"/>
      <c r="H30" s="132"/>
      <c r="I30" s="132"/>
      <c r="J30" s="132"/>
      <c r="K30" s="151"/>
    </row>
    <row r="31" spans="1:11" s="14" customFormat="1" ht="30" customHeight="1" x14ac:dyDescent="0.45">
      <c r="A31" s="135">
        <v>16</v>
      </c>
      <c r="B31" s="25" t="s">
        <v>595</v>
      </c>
      <c r="C31" s="135">
        <v>18</v>
      </c>
      <c r="D31" s="132"/>
      <c r="E31" s="147">
        <v>1</v>
      </c>
      <c r="F31" s="138">
        <f>200000/1000</f>
        <v>200</v>
      </c>
      <c r="G31" s="132"/>
      <c r="H31" s="132"/>
      <c r="I31" s="132"/>
      <c r="J31" s="132"/>
      <c r="K31" s="163"/>
    </row>
    <row r="32" spans="1:11" s="2" customFormat="1" ht="24.75" customHeight="1" x14ac:dyDescent="0.45">
      <c r="A32" s="175" t="s">
        <v>14</v>
      </c>
      <c r="B32" s="175"/>
      <c r="C32" s="175"/>
      <c r="D32" s="175"/>
      <c r="E32" s="175"/>
      <c r="F32" s="162">
        <f>SUM(F8:F31)</f>
        <v>9775.1499999999978</v>
      </c>
      <c r="G32" s="129"/>
      <c r="H32" s="129"/>
      <c r="I32" s="129"/>
      <c r="J32" s="129"/>
      <c r="K32" s="129"/>
    </row>
    <row r="33" spans="1:11" x14ac:dyDescent="0.5">
      <c r="A33" s="11"/>
      <c r="D33" s="3"/>
      <c r="E33" s="8"/>
      <c r="F33" s="168"/>
      <c r="G33" s="9"/>
      <c r="H33" s="9"/>
      <c r="I33" s="9"/>
      <c r="J33" s="9"/>
      <c r="K33" s="12"/>
    </row>
    <row r="34" spans="1:11" s="6" customFormat="1" x14ac:dyDescent="0.5">
      <c r="A34" s="11"/>
      <c r="D34" s="4"/>
      <c r="E34" s="5"/>
      <c r="F34" s="169"/>
      <c r="G34" s="5"/>
      <c r="H34" s="5"/>
      <c r="I34" s="5"/>
      <c r="J34" s="5"/>
      <c r="K34" s="3"/>
    </row>
  </sheetData>
  <mergeCells count="15">
    <mergeCell ref="A32:E32"/>
    <mergeCell ref="A1:K1"/>
    <mergeCell ref="A2:K2"/>
    <mergeCell ref="A3:K3"/>
    <mergeCell ref="A4:A6"/>
    <mergeCell ref="B4:B6"/>
    <mergeCell ref="C4:C6"/>
    <mergeCell ref="D4:D6"/>
    <mergeCell ref="E4:F4"/>
    <mergeCell ref="G4:J4"/>
    <mergeCell ref="K4:K6"/>
    <mergeCell ref="E5:E6"/>
    <mergeCell ref="F5:F6"/>
    <mergeCell ref="G5:H5"/>
    <mergeCell ref="I5:J5"/>
  </mergeCells>
  <pageMargins left="0.25" right="0.25" top="0.75" bottom="0.52" header="0.3" footer="0.3"/>
  <pageSetup paperSize="9" scale="58" orientation="portrait" r:id="rId1"/>
  <headerFooter>
    <oddFooter xml:space="preserve">&amp;C &amp;R                   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view="pageBreakPreview" topLeftCell="A64" zoomScale="89" zoomScaleNormal="78" zoomScaleSheetLayoutView="89" workbookViewId="0">
      <selection activeCell="A3" sqref="A3:K3"/>
    </sheetView>
  </sheetViews>
  <sheetFormatPr defaultColWidth="9.140625" defaultRowHeight="24" x14ac:dyDescent="0.5"/>
  <cols>
    <col min="1" max="1" width="6" style="10" customWidth="1"/>
    <col min="2" max="2" width="56.85546875" style="1" customWidth="1"/>
    <col min="3" max="3" width="7.140625" style="1" customWidth="1"/>
    <col min="4" max="4" width="7.42578125" style="7" customWidth="1"/>
    <col min="5" max="5" width="8.42578125" style="1" customWidth="1"/>
    <col min="6" max="6" width="13.140625" style="1" customWidth="1"/>
    <col min="7" max="7" width="8.85546875" style="1" customWidth="1"/>
    <col min="8" max="8" width="7.42578125" style="1" customWidth="1"/>
    <col min="9" max="9" width="7.5703125" style="1" customWidth="1"/>
    <col min="10" max="10" width="8.140625" style="1" customWidth="1"/>
    <col min="11" max="11" width="10.140625" style="15" customWidth="1"/>
    <col min="12" max="16384" width="9.140625" style="1"/>
  </cols>
  <sheetData>
    <row r="1" spans="1:11" ht="52.5" customHeight="1" x14ac:dyDescent="0.5">
      <c r="A1" s="176" t="s">
        <v>13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s="18" customFormat="1" ht="23.25" customHeight="1" x14ac:dyDescent="0.65">
      <c r="A2" s="188" t="s">
        <v>11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</row>
    <row r="3" spans="1:11" ht="57.75" customHeight="1" x14ac:dyDescent="0.5">
      <c r="A3" s="178" t="s">
        <v>627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</row>
    <row r="4" spans="1:11" s="2" customFormat="1" ht="24.75" customHeight="1" x14ac:dyDescent="0.45">
      <c r="A4" s="179" t="s">
        <v>4</v>
      </c>
      <c r="B4" s="180" t="s">
        <v>5</v>
      </c>
      <c r="C4" s="179" t="s">
        <v>12</v>
      </c>
      <c r="D4" s="179" t="s">
        <v>0</v>
      </c>
      <c r="E4" s="180" t="s">
        <v>6</v>
      </c>
      <c r="F4" s="180"/>
      <c r="G4" s="180" t="s">
        <v>3</v>
      </c>
      <c r="H4" s="180"/>
      <c r="I4" s="180"/>
      <c r="J4" s="180"/>
      <c r="K4" s="179" t="s">
        <v>1</v>
      </c>
    </row>
    <row r="5" spans="1:11" s="2" customFormat="1" ht="27" customHeight="1" x14ac:dyDescent="0.45">
      <c r="A5" s="179"/>
      <c r="B5" s="180"/>
      <c r="C5" s="179"/>
      <c r="D5" s="179"/>
      <c r="E5" s="180" t="s">
        <v>7</v>
      </c>
      <c r="F5" s="186" t="s">
        <v>15</v>
      </c>
      <c r="G5" s="180" t="s">
        <v>8</v>
      </c>
      <c r="H5" s="180"/>
      <c r="I5" s="180" t="s">
        <v>2</v>
      </c>
      <c r="J5" s="180"/>
      <c r="K5" s="179"/>
    </row>
    <row r="6" spans="1:11" s="16" customFormat="1" ht="21" customHeight="1" x14ac:dyDescent="0.45">
      <c r="A6" s="179"/>
      <c r="B6" s="180"/>
      <c r="C6" s="179"/>
      <c r="D6" s="179"/>
      <c r="E6" s="180"/>
      <c r="F6" s="186"/>
      <c r="G6" s="115" t="s">
        <v>9</v>
      </c>
      <c r="H6" s="115" t="s">
        <v>10</v>
      </c>
      <c r="I6" s="115" t="s">
        <v>9</v>
      </c>
      <c r="J6" s="115" t="s">
        <v>10</v>
      </c>
      <c r="K6" s="179"/>
    </row>
    <row r="7" spans="1:11" s="17" customFormat="1" ht="24" customHeight="1" x14ac:dyDescent="0.45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1">
        <v>10</v>
      </c>
      <c r="K7" s="21">
        <v>11</v>
      </c>
    </row>
    <row r="8" spans="1:11" s="2" customFormat="1" ht="24.75" customHeight="1" x14ac:dyDescent="0.45">
      <c r="A8" s="189" t="s">
        <v>23</v>
      </c>
      <c r="B8" s="190"/>
      <c r="C8" s="190"/>
      <c r="D8" s="190"/>
      <c r="E8" s="190"/>
      <c r="F8" s="190"/>
      <c r="G8" s="190"/>
      <c r="H8" s="190"/>
      <c r="I8" s="190"/>
      <c r="J8" s="190"/>
      <c r="K8" s="191"/>
    </row>
    <row r="9" spans="1:11" s="14" customFormat="1" ht="66" customHeight="1" x14ac:dyDescent="0.45">
      <c r="A9" s="22">
        <v>1</v>
      </c>
      <c r="B9" s="45" t="s">
        <v>379</v>
      </c>
      <c r="C9" s="22">
        <v>1</v>
      </c>
      <c r="D9" s="22" t="s">
        <v>47</v>
      </c>
      <c r="E9" s="22"/>
      <c r="F9" s="22">
        <v>0</v>
      </c>
      <c r="G9" s="22"/>
      <c r="H9" s="22"/>
      <c r="I9" s="22"/>
      <c r="J9" s="22"/>
      <c r="K9" s="22"/>
    </row>
    <row r="10" spans="1:11" s="14" customFormat="1" ht="66" customHeight="1" x14ac:dyDescent="0.45">
      <c r="A10" s="22">
        <v>2</v>
      </c>
      <c r="B10" s="45" t="s">
        <v>568</v>
      </c>
      <c r="C10" s="22">
        <v>2</v>
      </c>
      <c r="D10" s="22" t="s">
        <v>47</v>
      </c>
      <c r="E10" s="22"/>
      <c r="F10" s="22"/>
      <c r="G10" s="22"/>
      <c r="H10" s="22"/>
      <c r="I10" s="22"/>
      <c r="J10" s="22"/>
      <c r="K10" s="22"/>
    </row>
    <row r="11" spans="1:11" s="14" customFormat="1" ht="62.25" customHeight="1" x14ac:dyDescent="0.45">
      <c r="A11" s="21">
        <v>3</v>
      </c>
      <c r="B11" s="24" t="s">
        <v>70</v>
      </c>
      <c r="C11" s="22">
        <v>1</v>
      </c>
      <c r="D11" s="22" t="s">
        <v>47</v>
      </c>
      <c r="E11" s="39">
        <f>180/1000</f>
        <v>0.18</v>
      </c>
      <c r="F11" s="29">
        <f>500000/1000</f>
        <v>500</v>
      </c>
      <c r="G11" s="22"/>
      <c r="H11" s="22"/>
      <c r="I11" s="22"/>
      <c r="J11" s="22"/>
      <c r="K11" s="66"/>
    </row>
    <row r="12" spans="1:11" s="14" customFormat="1" ht="67.5" customHeight="1" x14ac:dyDescent="0.45">
      <c r="A12" s="22">
        <v>4</v>
      </c>
      <c r="B12" s="24" t="s">
        <v>252</v>
      </c>
      <c r="C12" s="21">
        <v>3</v>
      </c>
      <c r="D12" s="34" t="s">
        <v>46</v>
      </c>
      <c r="E12" s="33">
        <f>300/1000</f>
        <v>0.3</v>
      </c>
      <c r="F12" s="29">
        <f>519315 /1000</f>
        <v>519.31500000000005</v>
      </c>
      <c r="G12" s="21"/>
      <c r="H12" s="21"/>
      <c r="I12" s="21"/>
      <c r="J12" s="21"/>
      <c r="K12" s="99"/>
    </row>
    <row r="13" spans="1:11" s="14" customFormat="1" ht="63.75" customHeight="1" x14ac:dyDescent="0.45">
      <c r="A13" s="22">
        <v>5</v>
      </c>
      <c r="B13" s="24" t="s">
        <v>267</v>
      </c>
      <c r="C13" s="22">
        <v>8</v>
      </c>
      <c r="D13" s="34" t="s">
        <v>46</v>
      </c>
      <c r="E13" s="33">
        <f>205/1000</f>
        <v>0.20499999999999999</v>
      </c>
      <c r="F13" s="21">
        <f>700000/1000</f>
        <v>700</v>
      </c>
      <c r="G13" s="21"/>
      <c r="H13" s="21"/>
      <c r="I13" s="21"/>
      <c r="J13" s="21"/>
      <c r="K13" s="107"/>
    </row>
    <row r="14" spans="1:11" s="14" customFormat="1" ht="69.75" customHeight="1" x14ac:dyDescent="0.45">
      <c r="A14" s="21">
        <v>6</v>
      </c>
      <c r="B14" s="45" t="s">
        <v>567</v>
      </c>
      <c r="C14" s="22" t="s">
        <v>486</v>
      </c>
      <c r="D14" s="114"/>
      <c r="E14" s="33"/>
      <c r="F14" s="21">
        <f>1522000/1000</f>
        <v>1522</v>
      </c>
      <c r="G14" s="22"/>
      <c r="H14" s="22"/>
      <c r="I14" s="22"/>
      <c r="J14" s="22"/>
      <c r="K14" s="66"/>
    </row>
    <row r="15" spans="1:11" s="14" customFormat="1" ht="54.75" customHeight="1" x14ac:dyDescent="0.45">
      <c r="A15" s="22">
        <v>7</v>
      </c>
      <c r="B15" s="45" t="s">
        <v>485</v>
      </c>
      <c r="C15" s="21">
        <v>5</v>
      </c>
      <c r="D15" s="114"/>
      <c r="E15" s="33"/>
      <c r="F15" s="21">
        <f>500000/1000</f>
        <v>500</v>
      </c>
      <c r="G15" s="22"/>
      <c r="H15" s="22"/>
      <c r="I15" s="22"/>
      <c r="J15" s="22"/>
      <c r="K15" s="108"/>
    </row>
    <row r="16" spans="1:11" s="14" customFormat="1" ht="52.5" customHeight="1" x14ac:dyDescent="0.45">
      <c r="A16" s="22">
        <v>8</v>
      </c>
      <c r="B16" s="118" t="s">
        <v>596</v>
      </c>
      <c r="C16" s="22"/>
      <c r="D16" s="114"/>
      <c r="E16" s="33"/>
      <c r="F16" s="21">
        <f>2000000/1000</f>
        <v>2000</v>
      </c>
      <c r="G16" s="22"/>
      <c r="H16" s="22"/>
      <c r="I16" s="22"/>
      <c r="J16" s="22"/>
      <c r="K16" s="108"/>
    </row>
    <row r="17" spans="1:11" s="14" customFormat="1" ht="67.5" customHeight="1" x14ac:dyDescent="0.45">
      <c r="A17" s="21">
        <v>9</v>
      </c>
      <c r="B17" s="121" t="s">
        <v>492</v>
      </c>
      <c r="C17" s="21">
        <v>5</v>
      </c>
      <c r="D17" s="114" t="s">
        <v>493</v>
      </c>
      <c r="E17" s="33">
        <v>1</v>
      </c>
      <c r="F17" s="21">
        <f>50000/1000</f>
        <v>50</v>
      </c>
      <c r="G17" s="22"/>
      <c r="H17" s="22"/>
      <c r="I17" s="22"/>
      <c r="J17" s="22"/>
      <c r="K17" s="108"/>
    </row>
    <row r="18" spans="1:11" s="14" customFormat="1" ht="54.75" customHeight="1" x14ac:dyDescent="0.45">
      <c r="A18" s="22">
        <v>10</v>
      </c>
      <c r="B18" s="121" t="s">
        <v>494</v>
      </c>
      <c r="C18" s="21">
        <v>18</v>
      </c>
      <c r="D18" s="114"/>
      <c r="E18" s="33"/>
      <c r="F18" s="21">
        <f>200000/1000</f>
        <v>200</v>
      </c>
      <c r="G18" s="22"/>
      <c r="H18" s="22"/>
      <c r="I18" s="22"/>
      <c r="J18" s="22"/>
      <c r="K18" s="108"/>
    </row>
    <row r="19" spans="1:11" s="14" customFormat="1" ht="54.75" customHeight="1" x14ac:dyDescent="0.45">
      <c r="A19" s="22">
        <v>11</v>
      </c>
      <c r="B19" s="121" t="s">
        <v>495</v>
      </c>
      <c r="C19" s="21">
        <v>1</v>
      </c>
      <c r="D19" s="119" t="s">
        <v>493</v>
      </c>
      <c r="E19" s="33">
        <v>1</v>
      </c>
      <c r="F19" s="21">
        <f>200000/1000</f>
        <v>200</v>
      </c>
      <c r="G19" s="22"/>
      <c r="H19" s="22"/>
      <c r="I19" s="22"/>
      <c r="J19" s="22"/>
      <c r="K19" s="108"/>
    </row>
    <row r="20" spans="1:11" s="14" customFormat="1" ht="54.75" customHeight="1" x14ac:dyDescent="0.45">
      <c r="A20" s="21">
        <v>12</v>
      </c>
      <c r="B20" s="121" t="s">
        <v>496</v>
      </c>
      <c r="C20" s="21">
        <v>1</v>
      </c>
      <c r="D20" s="119" t="s">
        <v>493</v>
      </c>
      <c r="E20" s="33">
        <v>1</v>
      </c>
      <c r="F20" s="21">
        <f>100000/1000</f>
        <v>100</v>
      </c>
      <c r="G20" s="22"/>
      <c r="H20" s="22"/>
      <c r="I20" s="22"/>
      <c r="J20" s="22"/>
      <c r="K20" s="108"/>
    </row>
    <row r="21" spans="1:11" s="14" customFormat="1" ht="54.75" customHeight="1" x14ac:dyDescent="0.45">
      <c r="A21" s="22">
        <v>13</v>
      </c>
      <c r="B21" s="121" t="s">
        <v>497</v>
      </c>
      <c r="C21" s="21">
        <v>15</v>
      </c>
      <c r="D21" s="119" t="s">
        <v>493</v>
      </c>
      <c r="E21" s="33">
        <v>1</v>
      </c>
      <c r="F21" s="21">
        <f>50000/1000</f>
        <v>50</v>
      </c>
      <c r="G21" s="22"/>
      <c r="H21" s="22"/>
      <c r="I21" s="22"/>
      <c r="J21" s="22"/>
      <c r="K21" s="108"/>
    </row>
    <row r="22" spans="1:11" s="14" customFormat="1" ht="54.75" customHeight="1" x14ac:dyDescent="0.45">
      <c r="A22" s="22">
        <v>14</v>
      </c>
      <c r="B22" s="121" t="s">
        <v>498</v>
      </c>
      <c r="C22" s="21">
        <v>16</v>
      </c>
      <c r="D22" s="119" t="s">
        <v>493</v>
      </c>
      <c r="E22" s="33">
        <v>1</v>
      </c>
      <c r="F22" s="21">
        <f>30000/1000</f>
        <v>30</v>
      </c>
      <c r="G22" s="22"/>
      <c r="H22" s="22"/>
      <c r="I22" s="22"/>
      <c r="J22" s="22"/>
      <c r="K22" s="108"/>
    </row>
    <row r="23" spans="1:11" s="14" customFormat="1" ht="51.75" customHeight="1" x14ac:dyDescent="0.45">
      <c r="A23" s="21">
        <v>15</v>
      </c>
      <c r="B23" s="121" t="s">
        <v>499</v>
      </c>
      <c r="C23" s="21">
        <v>16</v>
      </c>
      <c r="D23" s="119" t="s">
        <v>493</v>
      </c>
      <c r="E23" s="33">
        <v>1</v>
      </c>
      <c r="F23" s="21">
        <f>25000/1000</f>
        <v>25</v>
      </c>
      <c r="G23" s="21"/>
      <c r="H23" s="21"/>
      <c r="I23" s="21"/>
      <c r="J23" s="21"/>
      <c r="K23" s="117"/>
    </row>
    <row r="24" spans="1:11" s="14" customFormat="1" ht="51.75" customHeight="1" x14ac:dyDescent="0.45">
      <c r="A24" s="22">
        <v>16</v>
      </c>
      <c r="B24" s="121" t="s">
        <v>500</v>
      </c>
      <c r="C24" s="21"/>
      <c r="D24" s="119" t="s">
        <v>493</v>
      </c>
      <c r="E24" s="33">
        <v>1</v>
      </c>
      <c r="F24" s="21">
        <f>35000/1000</f>
        <v>35</v>
      </c>
      <c r="G24" s="21"/>
      <c r="H24" s="21"/>
      <c r="I24" s="21"/>
      <c r="J24" s="21"/>
      <c r="K24" s="120"/>
    </row>
    <row r="25" spans="1:11" s="14" customFormat="1" ht="51.75" customHeight="1" x14ac:dyDescent="0.45">
      <c r="A25" s="22">
        <v>17</v>
      </c>
      <c r="B25" s="121" t="s">
        <v>501</v>
      </c>
      <c r="C25" s="21">
        <v>4</v>
      </c>
      <c r="D25" s="119" t="s">
        <v>47</v>
      </c>
      <c r="E25" s="33">
        <f>160/1000</f>
        <v>0.16</v>
      </c>
      <c r="F25" s="21">
        <f>400000/1000</f>
        <v>400</v>
      </c>
      <c r="G25" s="21"/>
      <c r="H25" s="21"/>
      <c r="I25" s="21"/>
      <c r="J25" s="21"/>
      <c r="K25" s="120"/>
    </row>
    <row r="26" spans="1:11" s="14" customFormat="1" ht="51.75" customHeight="1" x14ac:dyDescent="0.45">
      <c r="A26" s="21">
        <v>18</v>
      </c>
      <c r="B26" s="121" t="s">
        <v>502</v>
      </c>
      <c r="C26" s="21">
        <v>1</v>
      </c>
      <c r="D26" s="119" t="s">
        <v>47</v>
      </c>
      <c r="E26" s="33">
        <f>200/1000</f>
        <v>0.2</v>
      </c>
      <c r="F26" s="21">
        <f>100000/1000</f>
        <v>100</v>
      </c>
      <c r="G26" s="21"/>
      <c r="H26" s="21"/>
      <c r="I26" s="21"/>
      <c r="J26" s="21"/>
      <c r="K26" s="120"/>
    </row>
    <row r="27" spans="1:11" s="14" customFormat="1" ht="51.75" customHeight="1" x14ac:dyDescent="0.45">
      <c r="A27" s="22">
        <v>19</v>
      </c>
      <c r="B27" s="121" t="s">
        <v>503</v>
      </c>
      <c r="C27" s="21">
        <v>2</v>
      </c>
      <c r="D27" s="119" t="s">
        <v>47</v>
      </c>
      <c r="E27" s="33">
        <f>200/1000</f>
        <v>0.2</v>
      </c>
      <c r="F27" s="21">
        <f>500000/1000</f>
        <v>500</v>
      </c>
      <c r="G27" s="21"/>
      <c r="H27" s="21"/>
      <c r="I27" s="21"/>
      <c r="J27" s="21"/>
      <c r="K27" s="120"/>
    </row>
    <row r="28" spans="1:11" s="14" customFormat="1" ht="51.75" customHeight="1" x14ac:dyDescent="0.45">
      <c r="A28" s="22">
        <v>20</v>
      </c>
      <c r="B28" s="121" t="s">
        <v>504</v>
      </c>
      <c r="C28" s="21">
        <v>5</v>
      </c>
      <c r="D28" s="119" t="s">
        <v>47</v>
      </c>
      <c r="E28" s="33">
        <f>30/1000</f>
        <v>0.03</v>
      </c>
      <c r="F28" s="21">
        <f>533764/1000</f>
        <v>533.76400000000001</v>
      </c>
      <c r="G28" s="21"/>
      <c r="H28" s="21"/>
      <c r="I28" s="21"/>
      <c r="J28" s="21"/>
      <c r="K28" s="120"/>
    </row>
    <row r="29" spans="1:11" s="14" customFormat="1" ht="51.75" customHeight="1" x14ac:dyDescent="0.45">
      <c r="A29" s="21">
        <v>21</v>
      </c>
      <c r="B29" s="121" t="s">
        <v>505</v>
      </c>
      <c r="C29" s="21">
        <v>1</v>
      </c>
      <c r="D29" s="119" t="s">
        <v>32</v>
      </c>
      <c r="E29" s="33">
        <v>1</v>
      </c>
      <c r="F29" s="21">
        <f>80598/1000</f>
        <v>80.597999999999999</v>
      </c>
      <c r="G29" s="21"/>
      <c r="H29" s="21"/>
      <c r="I29" s="21"/>
      <c r="J29" s="21"/>
      <c r="K29" s="120"/>
    </row>
    <row r="30" spans="1:11" s="14" customFormat="1" ht="51.75" customHeight="1" x14ac:dyDescent="0.45">
      <c r="A30" s="22">
        <v>22</v>
      </c>
      <c r="B30" s="121" t="s">
        <v>506</v>
      </c>
      <c r="C30" s="21">
        <v>1</v>
      </c>
      <c r="D30" s="119" t="s">
        <v>32</v>
      </c>
      <c r="E30" s="33">
        <v>1</v>
      </c>
      <c r="F30" s="21">
        <f>76000/1000</f>
        <v>76</v>
      </c>
      <c r="G30" s="21"/>
      <c r="H30" s="21"/>
      <c r="I30" s="21"/>
      <c r="J30" s="21"/>
      <c r="K30" s="120"/>
    </row>
    <row r="31" spans="1:11" s="14" customFormat="1" ht="51.75" customHeight="1" x14ac:dyDescent="0.45">
      <c r="A31" s="22">
        <v>23</v>
      </c>
      <c r="B31" s="121" t="s">
        <v>507</v>
      </c>
      <c r="C31" s="21">
        <v>8</v>
      </c>
      <c r="D31" s="119" t="s">
        <v>47</v>
      </c>
      <c r="E31" s="33">
        <f>300/1000</f>
        <v>0.3</v>
      </c>
      <c r="F31" s="21">
        <f>1500000/1000</f>
        <v>1500</v>
      </c>
      <c r="G31" s="21"/>
      <c r="H31" s="21"/>
      <c r="I31" s="21"/>
      <c r="J31" s="21"/>
      <c r="K31" s="120"/>
    </row>
    <row r="32" spans="1:11" s="14" customFormat="1" ht="51.75" customHeight="1" x14ac:dyDescent="0.45">
      <c r="A32" s="21">
        <v>24</v>
      </c>
      <c r="B32" s="121" t="s">
        <v>508</v>
      </c>
      <c r="C32" s="21"/>
      <c r="D32" s="119" t="s">
        <v>32</v>
      </c>
      <c r="E32" s="33">
        <v>1</v>
      </c>
      <c r="F32" s="21">
        <f>550000/1000</f>
        <v>550</v>
      </c>
      <c r="G32" s="21"/>
      <c r="H32" s="21"/>
      <c r="I32" s="21"/>
      <c r="J32" s="21"/>
      <c r="K32" s="120"/>
    </row>
    <row r="33" spans="1:11" s="14" customFormat="1" ht="51.75" customHeight="1" x14ac:dyDescent="0.45">
      <c r="A33" s="22">
        <v>25</v>
      </c>
      <c r="B33" s="121" t="s">
        <v>509</v>
      </c>
      <c r="C33" s="21">
        <v>1</v>
      </c>
      <c r="D33" s="119" t="s">
        <v>32</v>
      </c>
      <c r="E33" s="33">
        <v>1</v>
      </c>
      <c r="F33" s="21">
        <f>150000/1000</f>
        <v>150</v>
      </c>
      <c r="G33" s="21"/>
      <c r="H33" s="21"/>
      <c r="I33" s="21"/>
      <c r="J33" s="21"/>
      <c r="K33" s="120"/>
    </row>
    <row r="34" spans="1:11" s="14" customFormat="1" ht="51.75" customHeight="1" x14ac:dyDescent="0.45">
      <c r="A34" s="22">
        <v>26</v>
      </c>
      <c r="B34" s="121" t="s">
        <v>510</v>
      </c>
      <c r="C34" s="21">
        <v>1</v>
      </c>
      <c r="D34" s="119" t="s">
        <v>32</v>
      </c>
      <c r="E34" s="33">
        <v>1</v>
      </c>
      <c r="F34" s="21">
        <f>40000/1000</f>
        <v>40</v>
      </c>
      <c r="G34" s="21"/>
      <c r="H34" s="21"/>
      <c r="I34" s="21"/>
      <c r="J34" s="21"/>
      <c r="K34" s="120"/>
    </row>
    <row r="35" spans="1:11" s="14" customFormat="1" ht="51.75" customHeight="1" x14ac:dyDescent="0.45">
      <c r="A35" s="21">
        <v>27</v>
      </c>
      <c r="B35" s="121" t="s">
        <v>511</v>
      </c>
      <c r="C35" s="21">
        <v>17</v>
      </c>
      <c r="D35" s="119" t="s">
        <v>32</v>
      </c>
      <c r="E35" s="33">
        <v>1</v>
      </c>
      <c r="F35" s="21">
        <f>1200000/1000</f>
        <v>1200</v>
      </c>
      <c r="G35" s="21"/>
      <c r="H35" s="21"/>
      <c r="I35" s="21"/>
      <c r="J35" s="21"/>
      <c r="K35" s="120"/>
    </row>
    <row r="36" spans="1:11" s="14" customFormat="1" ht="51.75" customHeight="1" x14ac:dyDescent="0.45">
      <c r="A36" s="22">
        <v>28</v>
      </c>
      <c r="B36" s="121" t="s">
        <v>512</v>
      </c>
      <c r="C36" s="21">
        <v>1</v>
      </c>
      <c r="D36" s="119" t="s">
        <v>32</v>
      </c>
      <c r="E36" s="33">
        <v>1</v>
      </c>
      <c r="F36" s="21">
        <f>35000/1000</f>
        <v>35</v>
      </c>
      <c r="G36" s="21"/>
      <c r="H36" s="21"/>
      <c r="I36" s="21"/>
      <c r="J36" s="21"/>
      <c r="K36" s="120"/>
    </row>
    <row r="37" spans="1:11" s="14" customFormat="1" ht="51.75" customHeight="1" x14ac:dyDescent="0.45">
      <c r="A37" s="22">
        <v>29</v>
      </c>
      <c r="B37" s="121" t="s">
        <v>513</v>
      </c>
      <c r="C37" s="21">
        <v>4</v>
      </c>
      <c r="D37" s="119" t="s">
        <v>47</v>
      </c>
      <c r="E37" s="33">
        <f t="shared" ref="E37:E43" si="0">100/1000</f>
        <v>0.1</v>
      </c>
      <c r="F37" s="21">
        <f>300000/1000</f>
        <v>300</v>
      </c>
      <c r="G37" s="21"/>
      <c r="H37" s="21"/>
      <c r="I37" s="21"/>
      <c r="J37" s="21"/>
      <c r="K37" s="120"/>
    </row>
    <row r="38" spans="1:11" s="14" customFormat="1" ht="51.75" customHeight="1" x14ac:dyDescent="0.45">
      <c r="A38" s="21">
        <v>30</v>
      </c>
      <c r="B38" s="121" t="s">
        <v>514</v>
      </c>
      <c r="C38" s="21">
        <v>4</v>
      </c>
      <c r="D38" s="119" t="s">
        <v>47</v>
      </c>
      <c r="E38" s="33">
        <f t="shared" si="0"/>
        <v>0.1</v>
      </c>
      <c r="F38" s="21">
        <f>226102/1000</f>
        <v>226.102</v>
      </c>
      <c r="G38" s="21"/>
      <c r="H38" s="21"/>
      <c r="I38" s="21"/>
      <c r="J38" s="21"/>
      <c r="K38" s="120"/>
    </row>
    <row r="39" spans="1:11" s="14" customFormat="1" ht="51.75" customHeight="1" x14ac:dyDescent="0.45">
      <c r="A39" s="22">
        <v>31</v>
      </c>
      <c r="B39" s="121" t="s">
        <v>515</v>
      </c>
      <c r="C39" s="22">
        <v>1</v>
      </c>
      <c r="D39" s="119" t="s">
        <v>47</v>
      </c>
      <c r="E39" s="33">
        <f t="shared" si="0"/>
        <v>0.1</v>
      </c>
      <c r="F39" s="21">
        <f>150000/1000</f>
        <v>150</v>
      </c>
      <c r="G39" s="22"/>
      <c r="H39" s="22"/>
      <c r="I39" s="22"/>
      <c r="J39" s="22"/>
      <c r="K39" s="105"/>
    </row>
    <row r="40" spans="1:11" s="14" customFormat="1" ht="51.75" customHeight="1" x14ac:dyDescent="0.45">
      <c r="A40" s="22">
        <v>32</v>
      </c>
      <c r="B40" s="121" t="s">
        <v>516</v>
      </c>
      <c r="C40" s="22">
        <v>1</v>
      </c>
      <c r="D40" s="119" t="s">
        <v>47</v>
      </c>
      <c r="E40" s="33">
        <f t="shared" si="0"/>
        <v>0.1</v>
      </c>
      <c r="F40" s="21">
        <f>150000/1000</f>
        <v>150</v>
      </c>
      <c r="G40" s="22"/>
      <c r="H40" s="22"/>
      <c r="I40" s="22"/>
      <c r="J40" s="22"/>
      <c r="K40" s="105"/>
    </row>
    <row r="41" spans="1:11" s="14" customFormat="1" ht="51.75" customHeight="1" x14ac:dyDescent="0.45">
      <c r="A41" s="21">
        <v>33</v>
      </c>
      <c r="B41" s="121" t="s">
        <v>517</v>
      </c>
      <c r="C41" s="22">
        <v>1</v>
      </c>
      <c r="D41" s="119" t="s">
        <v>47</v>
      </c>
      <c r="E41" s="33">
        <f t="shared" si="0"/>
        <v>0.1</v>
      </c>
      <c r="F41" s="21">
        <f>150000/1000</f>
        <v>150</v>
      </c>
      <c r="G41" s="22"/>
      <c r="H41" s="22"/>
      <c r="I41" s="22"/>
      <c r="J41" s="22"/>
      <c r="K41" s="105"/>
    </row>
    <row r="42" spans="1:11" s="14" customFormat="1" ht="51.75" customHeight="1" x14ac:dyDescent="0.45">
      <c r="A42" s="22">
        <v>34</v>
      </c>
      <c r="B42" s="121" t="s">
        <v>518</v>
      </c>
      <c r="C42" s="22">
        <v>1</v>
      </c>
      <c r="D42" s="119" t="s">
        <v>47</v>
      </c>
      <c r="E42" s="33">
        <f t="shared" si="0"/>
        <v>0.1</v>
      </c>
      <c r="F42" s="21">
        <f>150000/1000</f>
        <v>150</v>
      </c>
      <c r="G42" s="22"/>
      <c r="H42" s="22"/>
      <c r="I42" s="22"/>
      <c r="J42" s="22"/>
      <c r="K42" s="105"/>
    </row>
    <row r="43" spans="1:11" s="14" customFormat="1" ht="51.75" customHeight="1" x14ac:dyDescent="0.45">
      <c r="A43" s="22">
        <v>35</v>
      </c>
      <c r="B43" s="121" t="s">
        <v>519</v>
      </c>
      <c r="C43" s="22">
        <v>1</v>
      </c>
      <c r="D43" s="119" t="s">
        <v>47</v>
      </c>
      <c r="E43" s="33">
        <f t="shared" si="0"/>
        <v>0.1</v>
      </c>
      <c r="F43" s="21">
        <f>430000/1000</f>
        <v>430</v>
      </c>
      <c r="G43" s="22"/>
      <c r="H43" s="22"/>
      <c r="I43" s="22"/>
      <c r="J43" s="22"/>
      <c r="K43" s="105"/>
    </row>
    <row r="44" spans="1:11" s="14" customFormat="1" ht="51.75" customHeight="1" x14ac:dyDescent="0.45">
      <c r="A44" s="21">
        <v>36</v>
      </c>
      <c r="B44" s="121" t="s">
        <v>520</v>
      </c>
      <c r="C44" s="22">
        <v>2</v>
      </c>
      <c r="D44" s="119" t="s">
        <v>32</v>
      </c>
      <c r="E44" s="33">
        <v>1</v>
      </c>
      <c r="F44" s="21">
        <f>150000/1000</f>
        <v>150</v>
      </c>
      <c r="G44" s="22"/>
      <c r="H44" s="22"/>
      <c r="I44" s="22"/>
      <c r="J44" s="22"/>
      <c r="K44" s="105"/>
    </row>
    <row r="45" spans="1:11" s="14" customFormat="1" ht="51.75" customHeight="1" x14ac:dyDescent="0.45">
      <c r="A45" s="22">
        <v>37</v>
      </c>
      <c r="B45" s="121" t="s">
        <v>521</v>
      </c>
      <c r="C45" s="22">
        <v>2</v>
      </c>
      <c r="D45" s="119" t="s">
        <v>47</v>
      </c>
      <c r="E45" s="33">
        <f>100/1000</f>
        <v>0.1</v>
      </c>
      <c r="F45" s="21">
        <f>370000/1000</f>
        <v>370</v>
      </c>
      <c r="G45" s="22"/>
      <c r="H45" s="22"/>
      <c r="I45" s="22"/>
      <c r="J45" s="22"/>
      <c r="K45" s="105"/>
    </row>
    <row r="46" spans="1:11" s="14" customFormat="1" ht="51.75" customHeight="1" x14ac:dyDescent="0.45">
      <c r="A46" s="22">
        <v>38</v>
      </c>
      <c r="B46" s="121" t="s">
        <v>522</v>
      </c>
      <c r="C46" s="22">
        <v>1</v>
      </c>
      <c r="D46" s="119" t="s">
        <v>47</v>
      </c>
      <c r="E46" s="29">
        <f>50/1000</f>
        <v>0.05</v>
      </c>
      <c r="F46" s="21">
        <f>175100/1000</f>
        <v>175.1</v>
      </c>
      <c r="G46" s="22"/>
      <c r="H46" s="22"/>
      <c r="I46" s="22"/>
      <c r="J46" s="22"/>
      <c r="K46" s="105"/>
    </row>
    <row r="47" spans="1:11" s="14" customFormat="1" ht="51.75" customHeight="1" x14ac:dyDescent="0.45">
      <c r="A47" s="21">
        <v>39</v>
      </c>
      <c r="B47" s="121" t="s">
        <v>523</v>
      </c>
      <c r="C47" s="22">
        <v>2</v>
      </c>
      <c r="D47" s="119" t="s">
        <v>47</v>
      </c>
      <c r="E47" s="29">
        <f>200/1000</f>
        <v>0.2</v>
      </c>
      <c r="F47" s="21">
        <f t="shared" ref="F47:F52" si="1">150000/1000</f>
        <v>150</v>
      </c>
      <c r="G47" s="22"/>
      <c r="H47" s="22"/>
      <c r="I47" s="22"/>
      <c r="J47" s="22"/>
      <c r="K47" s="105"/>
    </row>
    <row r="48" spans="1:11" s="14" customFormat="1" ht="51.75" customHeight="1" x14ac:dyDescent="0.45">
      <c r="A48" s="22">
        <v>40</v>
      </c>
      <c r="B48" s="121" t="s">
        <v>524</v>
      </c>
      <c r="C48" s="22">
        <v>2</v>
      </c>
      <c r="D48" s="119" t="s">
        <v>47</v>
      </c>
      <c r="E48" s="29">
        <f>50/1000</f>
        <v>0.05</v>
      </c>
      <c r="F48" s="21">
        <f t="shared" si="1"/>
        <v>150</v>
      </c>
      <c r="G48" s="22"/>
      <c r="H48" s="22"/>
      <c r="I48" s="22"/>
      <c r="J48" s="22"/>
      <c r="K48" s="105"/>
    </row>
    <row r="49" spans="1:11" s="14" customFormat="1" ht="51.75" customHeight="1" x14ac:dyDescent="0.45">
      <c r="A49" s="22">
        <v>41</v>
      </c>
      <c r="B49" s="121" t="s">
        <v>525</v>
      </c>
      <c r="C49" s="22">
        <v>2</v>
      </c>
      <c r="D49" s="119" t="s">
        <v>47</v>
      </c>
      <c r="E49" s="29">
        <f>50/1000</f>
        <v>0.05</v>
      </c>
      <c r="F49" s="21">
        <f t="shared" si="1"/>
        <v>150</v>
      </c>
      <c r="G49" s="22"/>
      <c r="H49" s="22"/>
      <c r="I49" s="22"/>
      <c r="J49" s="22"/>
      <c r="K49" s="105"/>
    </row>
    <row r="50" spans="1:11" s="14" customFormat="1" ht="51.75" customHeight="1" x14ac:dyDescent="0.45">
      <c r="A50" s="21">
        <v>42</v>
      </c>
      <c r="B50" s="121" t="s">
        <v>526</v>
      </c>
      <c r="C50" s="22">
        <v>2</v>
      </c>
      <c r="D50" s="119" t="s">
        <v>47</v>
      </c>
      <c r="E50" s="29">
        <f>100/1000</f>
        <v>0.1</v>
      </c>
      <c r="F50" s="21">
        <f t="shared" si="1"/>
        <v>150</v>
      </c>
      <c r="G50" s="22"/>
      <c r="H50" s="22"/>
      <c r="I50" s="22"/>
      <c r="J50" s="22"/>
      <c r="K50" s="105"/>
    </row>
    <row r="51" spans="1:11" s="14" customFormat="1" ht="51.75" customHeight="1" x14ac:dyDescent="0.45">
      <c r="A51" s="22">
        <v>43</v>
      </c>
      <c r="B51" s="121" t="s">
        <v>527</v>
      </c>
      <c r="C51" s="22">
        <v>2</v>
      </c>
      <c r="D51" s="119" t="s">
        <v>47</v>
      </c>
      <c r="E51" s="29">
        <f>100/1000</f>
        <v>0.1</v>
      </c>
      <c r="F51" s="21">
        <f t="shared" si="1"/>
        <v>150</v>
      </c>
      <c r="G51" s="22"/>
      <c r="H51" s="22"/>
      <c r="I51" s="22"/>
      <c r="J51" s="22"/>
      <c r="K51" s="105"/>
    </row>
    <row r="52" spans="1:11" s="14" customFormat="1" ht="51.75" customHeight="1" x14ac:dyDescent="0.45">
      <c r="A52" s="22">
        <v>44</v>
      </c>
      <c r="B52" s="121" t="s">
        <v>528</v>
      </c>
      <c r="C52" s="22">
        <v>4</v>
      </c>
      <c r="D52" s="119" t="s">
        <v>47</v>
      </c>
      <c r="E52" s="29">
        <f>150/1000</f>
        <v>0.15</v>
      </c>
      <c r="F52" s="21">
        <f t="shared" si="1"/>
        <v>150</v>
      </c>
      <c r="G52" s="22"/>
      <c r="H52" s="22"/>
      <c r="I52" s="22"/>
      <c r="J52" s="22"/>
      <c r="K52" s="105"/>
    </row>
    <row r="53" spans="1:11" s="14" customFormat="1" ht="51.75" customHeight="1" x14ac:dyDescent="0.45">
      <c r="A53" s="21">
        <v>45</v>
      </c>
      <c r="B53" s="121" t="s">
        <v>529</v>
      </c>
      <c r="C53" s="22">
        <v>3</v>
      </c>
      <c r="D53" s="119" t="s">
        <v>47</v>
      </c>
      <c r="E53" s="29">
        <f>150/1000</f>
        <v>0.15</v>
      </c>
      <c r="F53" s="21">
        <f>237042/1000</f>
        <v>237.042</v>
      </c>
      <c r="G53" s="22"/>
      <c r="H53" s="22"/>
      <c r="I53" s="22"/>
      <c r="J53" s="22"/>
      <c r="K53" s="105"/>
    </row>
    <row r="54" spans="1:11" s="14" customFormat="1" ht="51.75" customHeight="1" x14ac:dyDescent="0.45">
      <c r="A54" s="22">
        <v>46</v>
      </c>
      <c r="B54" s="121" t="s">
        <v>530</v>
      </c>
      <c r="C54" s="22">
        <v>16</v>
      </c>
      <c r="D54" s="22" t="s">
        <v>32</v>
      </c>
      <c r="E54" s="22">
        <v>1</v>
      </c>
      <c r="F54" s="21">
        <f>200000/1000</f>
        <v>200</v>
      </c>
      <c r="G54" s="22"/>
      <c r="H54" s="22"/>
      <c r="I54" s="22"/>
      <c r="J54" s="22"/>
      <c r="K54" s="105"/>
    </row>
    <row r="55" spans="1:11" s="14" customFormat="1" ht="51.75" customHeight="1" x14ac:dyDescent="0.45">
      <c r="A55" s="22">
        <v>47</v>
      </c>
      <c r="B55" s="121" t="s">
        <v>531</v>
      </c>
      <c r="C55" s="22">
        <v>4</v>
      </c>
      <c r="D55" s="119" t="s">
        <v>47</v>
      </c>
      <c r="E55" s="29">
        <f>150/1000</f>
        <v>0.15</v>
      </c>
      <c r="F55" s="21">
        <f>334802/1000</f>
        <v>334.80200000000002</v>
      </c>
      <c r="G55" s="22"/>
      <c r="H55" s="22"/>
      <c r="I55" s="22"/>
      <c r="J55" s="22"/>
      <c r="K55" s="105"/>
    </row>
    <row r="56" spans="1:11" s="14" customFormat="1" ht="51.75" customHeight="1" x14ac:dyDescent="0.45">
      <c r="A56" s="21">
        <v>48</v>
      </c>
      <c r="B56" s="121" t="s">
        <v>532</v>
      </c>
      <c r="C56" s="22">
        <v>2</v>
      </c>
      <c r="D56" s="22" t="s">
        <v>32</v>
      </c>
      <c r="E56" s="22">
        <v>1</v>
      </c>
      <c r="F56" s="21">
        <f>200000/1000</f>
        <v>200</v>
      </c>
      <c r="G56" s="22"/>
      <c r="H56" s="22"/>
      <c r="I56" s="22"/>
      <c r="J56" s="22"/>
      <c r="K56" s="105"/>
    </row>
    <row r="57" spans="1:11" s="14" customFormat="1" ht="51.75" customHeight="1" x14ac:dyDescent="0.45">
      <c r="A57" s="22">
        <v>49</v>
      </c>
      <c r="B57" s="121" t="s">
        <v>533</v>
      </c>
      <c r="C57" s="22">
        <v>1</v>
      </c>
      <c r="D57" s="22" t="s">
        <v>32</v>
      </c>
      <c r="E57" s="22">
        <v>1</v>
      </c>
      <c r="F57" s="21">
        <f>150000/1000</f>
        <v>150</v>
      </c>
      <c r="G57" s="22"/>
      <c r="H57" s="22"/>
      <c r="I57" s="22"/>
      <c r="J57" s="22"/>
      <c r="K57" s="105"/>
    </row>
    <row r="58" spans="1:11" s="14" customFormat="1" ht="51.75" customHeight="1" x14ac:dyDescent="0.45">
      <c r="A58" s="22">
        <v>50</v>
      </c>
      <c r="B58" s="121" t="s">
        <v>534</v>
      </c>
      <c r="C58" s="22">
        <v>1</v>
      </c>
      <c r="D58" s="22" t="s">
        <v>32</v>
      </c>
      <c r="E58" s="22">
        <v>1</v>
      </c>
      <c r="F58" s="21">
        <f>200000/1000</f>
        <v>200</v>
      </c>
      <c r="G58" s="22"/>
      <c r="H58" s="22"/>
      <c r="I58" s="22"/>
      <c r="J58" s="22"/>
      <c r="K58" s="105"/>
    </row>
    <row r="59" spans="1:11" s="14" customFormat="1" ht="51.75" customHeight="1" x14ac:dyDescent="0.45">
      <c r="A59" s="21">
        <v>51</v>
      </c>
      <c r="B59" s="121" t="s">
        <v>535</v>
      </c>
      <c r="C59" s="22">
        <v>1</v>
      </c>
      <c r="D59" s="22" t="s">
        <v>47</v>
      </c>
      <c r="E59" s="29">
        <f>420/1000</f>
        <v>0.42</v>
      </c>
      <c r="F59" s="21">
        <f>1500000/1000</f>
        <v>1500</v>
      </c>
      <c r="G59" s="22"/>
      <c r="H59" s="22"/>
      <c r="I59" s="22"/>
      <c r="J59" s="22"/>
      <c r="K59" s="105"/>
    </row>
    <row r="60" spans="1:11" s="14" customFormat="1" ht="51.75" customHeight="1" x14ac:dyDescent="0.45">
      <c r="A60" s="22">
        <v>52</v>
      </c>
      <c r="B60" s="121" t="s">
        <v>625</v>
      </c>
      <c r="C60" s="22"/>
      <c r="D60" s="22" t="s">
        <v>32</v>
      </c>
      <c r="E60" s="22">
        <v>1</v>
      </c>
      <c r="F60" s="21">
        <f>150000/1000</f>
        <v>150</v>
      </c>
      <c r="G60" s="22"/>
      <c r="H60" s="22"/>
      <c r="I60" s="22"/>
      <c r="J60" s="22"/>
      <c r="K60" s="105"/>
    </row>
    <row r="61" spans="1:11" s="14" customFormat="1" ht="51.75" customHeight="1" x14ac:dyDescent="0.45">
      <c r="A61" s="22">
        <v>53</v>
      </c>
      <c r="B61" s="122" t="s">
        <v>536</v>
      </c>
      <c r="C61" s="22">
        <v>1</v>
      </c>
      <c r="D61" s="22" t="s">
        <v>47</v>
      </c>
      <c r="E61" s="29">
        <f>420/1000</f>
        <v>0.42</v>
      </c>
      <c r="F61" s="21">
        <f>150000/1000</f>
        <v>150</v>
      </c>
      <c r="G61" s="22"/>
      <c r="H61" s="22"/>
      <c r="I61" s="22"/>
      <c r="J61" s="22"/>
      <c r="K61" s="105"/>
    </row>
    <row r="62" spans="1:11" s="14" customFormat="1" ht="51.75" customHeight="1" x14ac:dyDescent="0.45">
      <c r="A62" s="21">
        <v>54</v>
      </c>
      <c r="B62" s="121" t="s">
        <v>537</v>
      </c>
      <c r="C62" s="22"/>
      <c r="D62" s="22"/>
      <c r="E62" s="22"/>
      <c r="F62" s="21">
        <f>150000/1000</f>
        <v>150</v>
      </c>
      <c r="G62" s="22"/>
      <c r="H62" s="22"/>
      <c r="I62" s="22"/>
      <c r="J62" s="22"/>
      <c r="K62" s="105"/>
    </row>
    <row r="63" spans="1:11" s="14" customFormat="1" ht="51.75" customHeight="1" x14ac:dyDescent="0.45">
      <c r="A63" s="22">
        <v>55</v>
      </c>
      <c r="B63" s="122" t="s">
        <v>538</v>
      </c>
      <c r="C63" s="22"/>
      <c r="D63" s="22"/>
      <c r="E63" s="22"/>
      <c r="F63" s="21">
        <f>500000/1000</f>
        <v>500</v>
      </c>
      <c r="G63" s="22"/>
      <c r="H63" s="22"/>
      <c r="I63" s="22"/>
      <c r="J63" s="22"/>
      <c r="K63" s="105"/>
    </row>
    <row r="64" spans="1:11" s="14" customFormat="1" ht="51.75" customHeight="1" x14ac:dyDescent="0.45">
      <c r="A64" s="22">
        <v>56</v>
      </c>
      <c r="B64" s="122" t="s">
        <v>539</v>
      </c>
      <c r="C64" s="22"/>
      <c r="D64" s="22"/>
      <c r="E64" s="22"/>
      <c r="F64" s="21">
        <f>500000/1000</f>
        <v>500</v>
      </c>
      <c r="G64" s="22"/>
      <c r="H64" s="22"/>
      <c r="I64" s="22"/>
      <c r="J64" s="22"/>
      <c r="K64" s="105"/>
    </row>
    <row r="65" spans="1:11" s="14" customFormat="1" ht="51.75" customHeight="1" x14ac:dyDescent="0.45">
      <c r="A65" s="21">
        <v>57</v>
      </c>
      <c r="B65" s="123" t="s">
        <v>540</v>
      </c>
      <c r="C65" s="22"/>
      <c r="D65" s="22"/>
      <c r="E65" s="22"/>
      <c r="F65" s="21">
        <f>5000000/1000</f>
        <v>5000</v>
      </c>
      <c r="G65" s="22"/>
      <c r="H65" s="22"/>
      <c r="I65" s="22"/>
      <c r="J65" s="22"/>
      <c r="K65" s="105"/>
    </row>
    <row r="66" spans="1:11" s="2" customFormat="1" ht="30.75" customHeight="1" x14ac:dyDescent="0.45">
      <c r="A66" s="175" t="s">
        <v>14</v>
      </c>
      <c r="B66" s="175"/>
      <c r="C66" s="175"/>
      <c r="D66" s="175"/>
      <c r="E66" s="175"/>
      <c r="F66" s="113">
        <f>SUM(F9:F64)</f>
        <v>19019.722999999998</v>
      </c>
      <c r="G66" s="116"/>
      <c r="H66" s="116"/>
      <c r="I66" s="116"/>
      <c r="J66" s="116"/>
      <c r="K66" s="116"/>
    </row>
    <row r="67" spans="1:11" x14ac:dyDescent="0.5">
      <c r="A67" s="11"/>
      <c r="D67" s="3"/>
      <c r="E67" s="8"/>
      <c r="F67" s="12"/>
      <c r="G67" s="9"/>
      <c r="H67" s="9"/>
      <c r="I67" s="9"/>
      <c r="J67" s="9"/>
      <c r="K67" s="12"/>
    </row>
    <row r="68" spans="1:11" s="6" customFormat="1" x14ac:dyDescent="0.5">
      <c r="A68" s="11"/>
      <c r="D68" s="4"/>
      <c r="E68" s="5"/>
      <c r="F68" s="5"/>
      <c r="G68" s="5"/>
      <c r="H68" s="5"/>
      <c r="I68" s="5"/>
      <c r="J68" s="5"/>
      <c r="K68" s="3"/>
    </row>
  </sheetData>
  <mergeCells count="16">
    <mergeCell ref="A66:E66"/>
    <mergeCell ref="A1:K1"/>
    <mergeCell ref="A2:K2"/>
    <mergeCell ref="A3:K3"/>
    <mergeCell ref="A4:A6"/>
    <mergeCell ref="B4:B6"/>
    <mergeCell ref="C4:C6"/>
    <mergeCell ref="D4:D6"/>
    <mergeCell ref="E4:F4"/>
    <mergeCell ref="G4:J4"/>
    <mergeCell ref="K4:K6"/>
    <mergeCell ref="E5:E6"/>
    <mergeCell ref="F5:F6"/>
    <mergeCell ref="G5:H5"/>
    <mergeCell ref="I5:J5"/>
    <mergeCell ref="A8:K8"/>
  </mergeCells>
  <pageMargins left="0.25" right="0.25" top="0.75" bottom="0.52" header="0.3" footer="0.3"/>
  <pageSetup paperSize="9" scale="70" orientation="portrait" r:id="rId1"/>
  <headerFooter>
    <oddFooter xml:space="preserve">&amp;C &amp;R                    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BreakPreview" topLeftCell="A25" zoomScale="89" zoomScaleNormal="78" zoomScaleSheetLayoutView="89" workbookViewId="0">
      <selection activeCell="G29" sqref="G29"/>
    </sheetView>
  </sheetViews>
  <sheetFormatPr defaultColWidth="9.140625" defaultRowHeight="24" x14ac:dyDescent="0.5"/>
  <cols>
    <col min="1" max="1" width="6" style="10" customWidth="1"/>
    <col min="2" max="2" width="56.85546875" style="1" customWidth="1"/>
    <col min="3" max="3" width="7.140625" style="1" customWidth="1"/>
    <col min="4" max="4" width="7.42578125" style="7" customWidth="1"/>
    <col min="5" max="5" width="8.42578125" style="1" customWidth="1"/>
    <col min="6" max="6" width="13.140625" style="1" customWidth="1"/>
    <col min="7" max="7" width="8.85546875" style="1" customWidth="1"/>
    <col min="8" max="8" width="7.42578125" style="1" customWidth="1"/>
    <col min="9" max="9" width="7.5703125" style="1" customWidth="1"/>
    <col min="10" max="10" width="8.140625" style="1" customWidth="1"/>
    <col min="11" max="11" width="10.140625" style="15" customWidth="1"/>
    <col min="12" max="16384" width="9.140625" style="1"/>
  </cols>
  <sheetData>
    <row r="1" spans="1:11" ht="52.5" customHeight="1" x14ac:dyDescent="0.5">
      <c r="A1" s="176" t="s">
        <v>13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s="18" customFormat="1" ht="23.25" customHeight="1" x14ac:dyDescent="0.65">
      <c r="A2" s="188" t="s">
        <v>11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</row>
    <row r="3" spans="1:11" ht="57.75" customHeight="1" x14ac:dyDescent="0.5">
      <c r="A3" s="178" t="s">
        <v>484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</row>
    <row r="4" spans="1:11" s="2" customFormat="1" ht="24.75" customHeight="1" x14ac:dyDescent="0.45">
      <c r="A4" s="179" t="s">
        <v>4</v>
      </c>
      <c r="B4" s="180" t="s">
        <v>5</v>
      </c>
      <c r="C4" s="179" t="s">
        <v>12</v>
      </c>
      <c r="D4" s="179" t="s">
        <v>0</v>
      </c>
      <c r="E4" s="180" t="s">
        <v>6</v>
      </c>
      <c r="F4" s="180"/>
      <c r="G4" s="180" t="s">
        <v>3</v>
      </c>
      <c r="H4" s="180"/>
      <c r="I4" s="180"/>
      <c r="J4" s="180"/>
      <c r="K4" s="179" t="s">
        <v>1</v>
      </c>
    </row>
    <row r="5" spans="1:11" s="2" customFormat="1" ht="27" customHeight="1" x14ac:dyDescent="0.45">
      <c r="A5" s="179"/>
      <c r="B5" s="180"/>
      <c r="C5" s="179"/>
      <c r="D5" s="179"/>
      <c r="E5" s="180" t="s">
        <v>7</v>
      </c>
      <c r="F5" s="186" t="s">
        <v>15</v>
      </c>
      <c r="G5" s="180" t="s">
        <v>8</v>
      </c>
      <c r="H5" s="180"/>
      <c r="I5" s="180" t="s">
        <v>2</v>
      </c>
      <c r="J5" s="180"/>
      <c r="K5" s="179"/>
    </row>
    <row r="6" spans="1:11" s="16" customFormat="1" ht="21" customHeight="1" x14ac:dyDescent="0.45">
      <c r="A6" s="179"/>
      <c r="B6" s="180"/>
      <c r="C6" s="179"/>
      <c r="D6" s="179"/>
      <c r="E6" s="180"/>
      <c r="F6" s="186"/>
      <c r="G6" s="111" t="s">
        <v>9</v>
      </c>
      <c r="H6" s="111" t="s">
        <v>10</v>
      </c>
      <c r="I6" s="111" t="s">
        <v>9</v>
      </c>
      <c r="J6" s="111" t="s">
        <v>10</v>
      </c>
      <c r="K6" s="179"/>
    </row>
    <row r="7" spans="1:11" s="17" customFormat="1" ht="24" customHeight="1" x14ac:dyDescent="0.45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1">
        <v>10</v>
      </c>
      <c r="K7" s="21">
        <v>11</v>
      </c>
    </row>
    <row r="8" spans="1:11" s="2" customFormat="1" ht="24.75" customHeight="1" x14ac:dyDescent="0.45">
      <c r="A8" s="189" t="s">
        <v>23</v>
      </c>
      <c r="B8" s="190"/>
      <c r="C8" s="190"/>
      <c r="D8" s="190"/>
      <c r="E8" s="190"/>
      <c r="F8" s="190"/>
      <c r="G8" s="190"/>
      <c r="H8" s="190"/>
      <c r="I8" s="190"/>
      <c r="J8" s="190"/>
      <c r="K8" s="191"/>
    </row>
    <row r="9" spans="1:11" s="14" customFormat="1" ht="66" customHeight="1" x14ac:dyDescent="0.45">
      <c r="A9" s="22">
        <v>1</v>
      </c>
      <c r="B9" s="45" t="s">
        <v>72</v>
      </c>
      <c r="C9" s="22">
        <v>1</v>
      </c>
      <c r="D9" s="22" t="s">
        <v>47</v>
      </c>
      <c r="E9" s="29">
        <f>180/1000</f>
        <v>0.18</v>
      </c>
      <c r="F9" s="22">
        <v>0</v>
      </c>
      <c r="G9" s="22"/>
      <c r="H9" s="22"/>
      <c r="I9" s="22"/>
      <c r="J9" s="22"/>
      <c r="K9" s="66"/>
    </row>
    <row r="10" spans="1:11" s="14" customFormat="1" ht="75.75" customHeight="1" x14ac:dyDescent="0.45">
      <c r="A10" s="22">
        <v>2</v>
      </c>
      <c r="B10" s="45" t="s">
        <v>394</v>
      </c>
      <c r="C10" s="22">
        <v>8</v>
      </c>
      <c r="D10" s="22" t="s">
        <v>47</v>
      </c>
      <c r="E10" s="29">
        <f>200/1000</f>
        <v>0.2</v>
      </c>
      <c r="F10" s="22">
        <v>0</v>
      </c>
      <c r="G10" s="22"/>
      <c r="H10" s="22"/>
      <c r="I10" s="22"/>
      <c r="J10" s="22"/>
      <c r="K10" s="66"/>
    </row>
    <row r="11" spans="1:11" s="14" customFormat="1" ht="75.75" customHeight="1" x14ac:dyDescent="0.45">
      <c r="A11" s="22">
        <v>3</v>
      </c>
      <c r="B11" s="25" t="s">
        <v>326</v>
      </c>
      <c r="C11" s="22">
        <v>12</v>
      </c>
      <c r="D11" s="22" t="s">
        <v>38</v>
      </c>
      <c r="E11" s="29">
        <f>150/1000</f>
        <v>0.15</v>
      </c>
      <c r="F11" s="22">
        <v>0</v>
      </c>
      <c r="G11" s="22"/>
      <c r="H11" s="22"/>
      <c r="I11" s="22"/>
      <c r="J11" s="22"/>
      <c r="K11" s="66"/>
    </row>
    <row r="12" spans="1:11" s="14" customFormat="1" ht="71.25" customHeight="1" x14ac:dyDescent="0.45">
      <c r="A12" s="22">
        <v>4</v>
      </c>
      <c r="B12" s="63" t="s">
        <v>294</v>
      </c>
      <c r="C12" s="22">
        <v>4</v>
      </c>
      <c r="D12" s="22" t="s">
        <v>47</v>
      </c>
      <c r="E12" s="29">
        <f>150/1000</f>
        <v>0.15</v>
      </c>
      <c r="F12" s="21">
        <v>0</v>
      </c>
      <c r="G12" s="22"/>
      <c r="H12" s="22"/>
      <c r="I12" s="22"/>
      <c r="J12" s="22"/>
      <c r="K12" s="66"/>
    </row>
    <row r="13" spans="1:11" s="14" customFormat="1" ht="67.5" customHeight="1" x14ac:dyDescent="0.45">
      <c r="A13" s="22">
        <v>5</v>
      </c>
      <c r="B13" s="97" t="s">
        <v>68</v>
      </c>
      <c r="C13" s="96">
        <v>1</v>
      </c>
      <c r="D13" s="98" t="s">
        <v>46</v>
      </c>
      <c r="E13" s="33">
        <f>295/1000</f>
        <v>0.29499999999999998</v>
      </c>
      <c r="F13" s="96">
        <v>0</v>
      </c>
      <c r="G13" s="96"/>
      <c r="H13" s="96"/>
      <c r="I13" s="96"/>
      <c r="J13" s="96"/>
      <c r="K13" s="106"/>
    </row>
    <row r="14" spans="1:11" s="14" customFormat="1" ht="84" customHeight="1" x14ac:dyDescent="0.45">
      <c r="A14" s="22">
        <v>6</v>
      </c>
      <c r="B14" s="24" t="s">
        <v>71</v>
      </c>
      <c r="C14" s="21">
        <v>1</v>
      </c>
      <c r="D14" s="34" t="s">
        <v>46</v>
      </c>
      <c r="E14" s="33">
        <f>205/1000</f>
        <v>0.20499999999999999</v>
      </c>
      <c r="F14" s="21">
        <v>0</v>
      </c>
      <c r="G14" s="21"/>
      <c r="H14" s="21"/>
      <c r="I14" s="21"/>
      <c r="J14" s="21"/>
      <c r="K14" s="106"/>
    </row>
    <row r="15" spans="1:11" s="14" customFormat="1" ht="84" customHeight="1" x14ac:dyDescent="0.45">
      <c r="A15" s="22">
        <v>7</v>
      </c>
      <c r="B15" s="24" t="s">
        <v>256</v>
      </c>
      <c r="C15" s="21">
        <v>5</v>
      </c>
      <c r="D15" s="34" t="s">
        <v>46</v>
      </c>
      <c r="E15" s="33">
        <f>205/1000</f>
        <v>0.20499999999999999</v>
      </c>
      <c r="F15" s="21">
        <v>0</v>
      </c>
      <c r="G15" s="21"/>
      <c r="H15" s="21"/>
      <c r="I15" s="21"/>
      <c r="J15" s="21"/>
      <c r="K15" s="66"/>
    </row>
    <row r="16" spans="1:11" s="14" customFormat="1" ht="84" customHeight="1" x14ac:dyDescent="0.45">
      <c r="A16" s="22">
        <v>8</v>
      </c>
      <c r="B16" s="25" t="s">
        <v>257</v>
      </c>
      <c r="C16" s="22">
        <v>5</v>
      </c>
      <c r="D16" s="34" t="s">
        <v>46</v>
      </c>
      <c r="E16" s="33">
        <f>205/1000</f>
        <v>0.20499999999999999</v>
      </c>
      <c r="F16" s="21">
        <v>0</v>
      </c>
      <c r="G16" s="22"/>
      <c r="H16" s="22"/>
      <c r="I16" s="22"/>
      <c r="J16" s="22"/>
      <c r="K16" s="66"/>
    </row>
    <row r="17" spans="1:11" s="14" customFormat="1" ht="84" customHeight="1" x14ac:dyDescent="0.45">
      <c r="A17" s="22">
        <v>9</v>
      </c>
      <c r="B17" s="45" t="s">
        <v>483</v>
      </c>
      <c r="C17" s="22">
        <v>5</v>
      </c>
      <c r="D17" s="22" t="s">
        <v>47</v>
      </c>
      <c r="E17" s="22"/>
      <c r="F17" s="21">
        <v>0</v>
      </c>
      <c r="G17" s="22"/>
      <c r="H17" s="22"/>
      <c r="I17" s="22"/>
      <c r="J17" s="22"/>
      <c r="K17" s="22"/>
    </row>
    <row r="18" spans="1:11" s="14" customFormat="1" ht="54.75" customHeight="1" x14ac:dyDescent="0.45">
      <c r="A18" s="22">
        <v>10</v>
      </c>
      <c r="B18" s="24" t="s">
        <v>262</v>
      </c>
      <c r="C18" s="21">
        <v>7</v>
      </c>
      <c r="D18" s="34" t="s">
        <v>46</v>
      </c>
      <c r="E18" s="33">
        <f>205/1000</f>
        <v>0.20499999999999999</v>
      </c>
      <c r="F18" s="21">
        <v>0</v>
      </c>
      <c r="G18" s="22">
        <v>16</v>
      </c>
      <c r="H18" s="22">
        <v>54</v>
      </c>
      <c r="I18" s="22">
        <v>23</v>
      </c>
      <c r="J18" s="22">
        <v>98</v>
      </c>
      <c r="K18" s="108"/>
    </row>
    <row r="19" spans="1:11" s="14" customFormat="1" ht="51.75" customHeight="1" x14ac:dyDescent="0.45">
      <c r="A19" s="22">
        <v>11</v>
      </c>
      <c r="B19" s="24" t="s">
        <v>424</v>
      </c>
      <c r="C19" s="21">
        <v>12</v>
      </c>
      <c r="D19" s="34" t="s">
        <v>46</v>
      </c>
      <c r="E19" s="33">
        <f>295/1000</f>
        <v>0.29499999999999998</v>
      </c>
      <c r="F19" s="21">
        <v>0</v>
      </c>
      <c r="G19" s="21"/>
      <c r="H19" s="21"/>
      <c r="I19" s="21"/>
      <c r="J19" s="21"/>
      <c r="K19" s="31"/>
    </row>
    <row r="20" spans="1:11" s="14" customFormat="1" ht="51.75" customHeight="1" x14ac:dyDescent="0.45">
      <c r="A20" s="22">
        <v>12</v>
      </c>
      <c r="B20" s="24" t="s">
        <v>67</v>
      </c>
      <c r="C20" s="22">
        <v>1</v>
      </c>
      <c r="D20" s="22" t="s">
        <v>47</v>
      </c>
      <c r="E20" s="39">
        <f>180/1000</f>
        <v>0.18</v>
      </c>
      <c r="F20" s="21">
        <v>0</v>
      </c>
      <c r="G20" s="22"/>
      <c r="H20" s="22"/>
      <c r="I20" s="22"/>
      <c r="J20" s="22"/>
      <c r="K20" s="105"/>
    </row>
    <row r="21" spans="1:11" s="14" customFormat="1" ht="51.75" customHeight="1" x14ac:dyDescent="0.45">
      <c r="A21" s="22">
        <v>13</v>
      </c>
      <c r="B21" s="94" t="s">
        <v>464</v>
      </c>
      <c r="C21" s="22">
        <v>4</v>
      </c>
      <c r="D21" s="22" t="s">
        <v>47</v>
      </c>
      <c r="E21" s="39">
        <f>180/1000</f>
        <v>0.18</v>
      </c>
      <c r="F21" s="21">
        <v>0</v>
      </c>
      <c r="G21" s="22"/>
      <c r="H21" s="22"/>
      <c r="I21" s="22"/>
      <c r="J21" s="22"/>
      <c r="K21" s="105"/>
    </row>
    <row r="22" spans="1:11" s="14" customFormat="1" ht="51.75" customHeight="1" x14ac:dyDescent="0.45">
      <c r="A22" s="22">
        <v>14</v>
      </c>
      <c r="B22" s="109" t="s">
        <v>480</v>
      </c>
      <c r="C22" s="22">
        <v>15</v>
      </c>
      <c r="D22" s="22" t="s">
        <v>32</v>
      </c>
      <c r="E22" s="22">
        <v>1</v>
      </c>
      <c r="F22" s="21">
        <v>0</v>
      </c>
      <c r="G22" s="22"/>
      <c r="H22" s="22"/>
      <c r="I22" s="22"/>
      <c r="J22" s="22"/>
      <c r="K22" s="105"/>
    </row>
    <row r="23" spans="1:11" s="14" customFormat="1" ht="51.75" customHeight="1" x14ac:dyDescent="0.45">
      <c r="A23" s="22">
        <v>15</v>
      </c>
      <c r="B23" s="25" t="s">
        <v>258</v>
      </c>
      <c r="C23" s="22">
        <v>5</v>
      </c>
      <c r="D23" s="22" t="s">
        <v>32</v>
      </c>
      <c r="E23" s="22">
        <v>1</v>
      </c>
      <c r="F23" s="21">
        <v>0</v>
      </c>
      <c r="G23" s="22"/>
      <c r="H23" s="22"/>
      <c r="I23" s="22"/>
      <c r="J23" s="22"/>
      <c r="K23" s="66"/>
    </row>
    <row r="24" spans="1:11" s="14" customFormat="1" ht="51.75" customHeight="1" x14ac:dyDescent="0.45">
      <c r="A24" s="22">
        <v>16</v>
      </c>
      <c r="B24" s="25" t="s">
        <v>491</v>
      </c>
      <c r="C24" s="22">
        <v>18</v>
      </c>
      <c r="D24" s="22" t="s">
        <v>32</v>
      </c>
      <c r="E24" s="22">
        <v>1</v>
      </c>
      <c r="F24" s="21"/>
      <c r="G24" s="22"/>
      <c r="H24" s="22"/>
      <c r="I24" s="22"/>
      <c r="J24" s="22"/>
      <c r="K24" s="66"/>
    </row>
    <row r="25" spans="1:11" s="14" customFormat="1" ht="51.75" customHeight="1" x14ac:dyDescent="0.45">
      <c r="A25" s="22">
        <v>17</v>
      </c>
      <c r="B25" s="25" t="s">
        <v>488</v>
      </c>
      <c r="C25" s="22">
        <v>19</v>
      </c>
      <c r="D25" s="22" t="s">
        <v>32</v>
      </c>
      <c r="E25" s="22">
        <v>1</v>
      </c>
      <c r="F25" s="21"/>
      <c r="G25" s="22"/>
      <c r="H25" s="22"/>
      <c r="I25" s="22"/>
      <c r="J25" s="22"/>
      <c r="K25" s="66"/>
    </row>
    <row r="26" spans="1:11" s="14" customFormat="1" ht="51.75" customHeight="1" x14ac:dyDescent="0.45">
      <c r="A26" s="22">
        <v>18</v>
      </c>
      <c r="B26" s="25" t="s">
        <v>489</v>
      </c>
      <c r="C26" s="22">
        <v>20</v>
      </c>
      <c r="D26" s="22" t="s">
        <v>32</v>
      </c>
      <c r="E26" s="22">
        <v>1</v>
      </c>
      <c r="F26" s="21"/>
      <c r="G26" s="22"/>
      <c r="H26" s="22"/>
      <c r="I26" s="22"/>
      <c r="J26" s="22"/>
      <c r="K26" s="66"/>
    </row>
    <row r="27" spans="1:11" s="14" customFormat="1" ht="51.75" customHeight="1" x14ac:dyDescent="0.45">
      <c r="A27" s="22">
        <v>19</v>
      </c>
      <c r="B27" s="25" t="s">
        <v>490</v>
      </c>
      <c r="C27" s="22">
        <v>19</v>
      </c>
      <c r="D27" s="22" t="s">
        <v>32</v>
      </c>
      <c r="E27" s="22">
        <v>1</v>
      </c>
      <c r="F27" s="21"/>
      <c r="G27" s="22"/>
      <c r="H27" s="22"/>
      <c r="I27" s="22"/>
      <c r="J27" s="22"/>
      <c r="K27" s="66"/>
    </row>
    <row r="28" spans="1:11" s="14" customFormat="1" ht="51.75" customHeight="1" x14ac:dyDescent="0.45">
      <c r="A28" s="22">
        <v>20</v>
      </c>
      <c r="B28" s="63" t="s">
        <v>324</v>
      </c>
      <c r="C28" s="22">
        <v>10</v>
      </c>
      <c r="D28" s="22" t="s">
        <v>38</v>
      </c>
      <c r="E28" s="29">
        <f>500/1000</f>
        <v>0.5</v>
      </c>
      <c r="F28" s="29">
        <v>0</v>
      </c>
      <c r="G28" s="22"/>
      <c r="H28" s="22"/>
      <c r="I28" s="22"/>
      <c r="J28" s="22"/>
      <c r="K28" s="66"/>
    </row>
    <row r="29" spans="1:11" s="14" customFormat="1" ht="51.75" customHeight="1" x14ac:dyDescent="0.45">
      <c r="A29" s="22">
        <v>21</v>
      </c>
      <c r="B29" s="63" t="s">
        <v>323</v>
      </c>
      <c r="C29" s="22">
        <v>10</v>
      </c>
      <c r="D29" s="22" t="s">
        <v>32</v>
      </c>
      <c r="E29" s="22">
        <v>1</v>
      </c>
      <c r="F29" s="29"/>
      <c r="G29" s="22"/>
      <c r="H29" s="22"/>
      <c r="I29" s="22"/>
      <c r="J29" s="22"/>
      <c r="K29" s="66"/>
    </row>
    <row r="30" spans="1:11" s="2" customFormat="1" ht="30.75" customHeight="1" x14ac:dyDescent="0.45">
      <c r="A30" s="175" t="s">
        <v>14</v>
      </c>
      <c r="B30" s="175"/>
      <c r="C30" s="175"/>
      <c r="D30" s="175"/>
      <c r="E30" s="175"/>
      <c r="F30" s="110">
        <f>48721000/1000</f>
        <v>48721</v>
      </c>
      <c r="G30" s="112"/>
      <c r="H30" s="112"/>
      <c r="I30" s="112"/>
      <c r="J30" s="112"/>
      <c r="K30" s="112"/>
    </row>
    <row r="31" spans="1:11" x14ac:dyDescent="0.5">
      <c r="A31" s="11"/>
      <c r="D31" s="3"/>
      <c r="E31" s="8"/>
      <c r="F31" s="12"/>
      <c r="G31" s="9"/>
      <c r="H31" s="9"/>
      <c r="I31" s="9"/>
      <c r="J31" s="9"/>
      <c r="K31" s="12"/>
    </row>
    <row r="32" spans="1:11" s="6" customFormat="1" x14ac:dyDescent="0.5">
      <c r="A32" s="11"/>
      <c r="D32" s="4"/>
      <c r="E32" s="5"/>
      <c r="F32" s="5"/>
      <c r="G32" s="5"/>
      <c r="H32" s="5"/>
      <c r="I32" s="5"/>
      <c r="J32" s="5"/>
      <c r="K32" s="3"/>
    </row>
  </sheetData>
  <mergeCells count="16">
    <mergeCell ref="A30:E30"/>
    <mergeCell ref="A1:K1"/>
    <mergeCell ref="A2:K2"/>
    <mergeCell ref="A3:K3"/>
    <mergeCell ref="A4:A6"/>
    <mergeCell ref="B4:B6"/>
    <mergeCell ref="C4:C6"/>
    <mergeCell ref="D4:D6"/>
    <mergeCell ref="E4:F4"/>
    <mergeCell ref="G4:J4"/>
    <mergeCell ref="K4:K6"/>
    <mergeCell ref="E5:E6"/>
    <mergeCell ref="F5:F6"/>
    <mergeCell ref="G5:H5"/>
    <mergeCell ref="I5:J5"/>
    <mergeCell ref="A8:K8"/>
  </mergeCells>
  <pageMargins left="0.25" right="0.25" top="0.75" bottom="0.52" header="0.3" footer="0.3"/>
  <pageSetup paperSize="9" scale="70" orientation="portrait" r:id="rId1"/>
  <headerFooter>
    <oddFooter xml:space="preserve">&amp;C &amp;R                    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topLeftCell="A14" zoomScale="89" zoomScaleNormal="78" zoomScaleSheetLayoutView="89" workbookViewId="0">
      <selection activeCell="I17" sqref="I17"/>
    </sheetView>
  </sheetViews>
  <sheetFormatPr defaultColWidth="9.140625" defaultRowHeight="24" x14ac:dyDescent="0.5"/>
  <cols>
    <col min="1" max="1" width="6" style="10" customWidth="1"/>
    <col min="2" max="2" width="56.85546875" style="1" customWidth="1"/>
    <col min="3" max="3" width="7.140625" style="1" customWidth="1"/>
    <col min="4" max="4" width="7.42578125" style="7" customWidth="1"/>
    <col min="5" max="5" width="8.42578125" style="1" customWidth="1"/>
    <col min="6" max="6" width="13.140625" style="1" customWidth="1"/>
    <col min="7" max="7" width="8.85546875" style="1" customWidth="1"/>
    <col min="8" max="8" width="7.42578125" style="1" customWidth="1"/>
    <col min="9" max="9" width="7.5703125" style="1" customWidth="1"/>
    <col min="10" max="10" width="8.140625" style="1" customWidth="1"/>
    <col min="11" max="11" width="10.140625" style="15" customWidth="1"/>
    <col min="12" max="16384" width="9.140625" style="1"/>
  </cols>
  <sheetData>
    <row r="1" spans="1:11" ht="52.5" customHeight="1" x14ac:dyDescent="0.5">
      <c r="A1" s="176" t="s">
        <v>13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s="18" customFormat="1" ht="23.25" customHeight="1" x14ac:dyDescent="0.65">
      <c r="A2" s="188" t="s">
        <v>11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</row>
    <row r="3" spans="1:11" ht="57.75" customHeight="1" x14ac:dyDescent="0.5">
      <c r="A3" s="178" t="s">
        <v>622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</row>
    <row r="4" spans="1:11" s="2" customFormat="1" ht="24.75" customHeight="1" x14ac:dyDescent="0.45">
      <c r="A4" s="179" t="s">
        <v>4</v>
      </c>
      <c r="B4" s="180" t="s">
        <v>5</v>
      </c>
      <c r="C4" s="179" t="s">
        <v>12</v>
      </c>
      <c r="D4" s="179" t="s">
        <v>0</v>
      </c>
      <c r="E4" s="180" t="s">
        <v>6</v>
      </c>
      <c r="F4" s="180"/>
      <c r="G4" s="180" t="s">
        <v>3</v>
      </c>
      <c r="H4" s="180"/>
      <c r="I4" s="180"/>
      <c r="J4" s="180"/>
      <c r="K4" s="179" t="s">
        <v>1</v>
      </c>
    </row>
    <row r="5" spans="1:11" s="2" customFormat="1" ht="27" customHeight="1" x14ac:dyDescent="0.45">
      <c r="A5" s="179"/>
      <c r="B5" s="180"/>
      <c r="C5" s="179"/>
      <c r="D5" s="179"/>
      <c r="E5" s="180" t="s">
        <v>7</v>
      </c>
      <c r="F5" s="186" t="s">
        <v>15</v>
      </c>
      <c r="G5" s="180" t="s">
        <v>8</v>
      </c>
      <c r="H5" s="180"/>
      <c r="I5" s="180" t="s">
        <v>2</v>
      </c>
      <c r="J5" s="180"/>
      <c r="K5" s="179"/>
    </row>
    <row r="6" spans="1:11" s="16" customFormat="1" ht="21" customHeight="1" x14ac:dyDescent="0.45">
      <c r="A6" s="179"/>
      <c r="B6" s="180"/>
      <c r="C6" s="179"/>
      <c r="D6" s="179"/>
      <c r="E6" s="180"/>
      <c r="F6" s="186"/>
      <c r="G6" s="44" t="s">
        <v>9</v>
      </c>
      <c r="H6" s="44" t="s">
        <v>10</v>
      </c>
      <c r="I6" s="44" t="s">
        <v>9</v>
      </c>
      <c r="J6" s="44" t="s">
        <v>10</v>
      </c>
      <c r="K6" s="179"/>
    </row>
    <row r="7" spans="1:11" s="17" customFormat="1" ht="24" customHeight="1" x14ac:dyDescent="0.45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1">
        <v>10</v>
      </c>
      <c r="K7" s="21">
        <v>11</v>
      </c>
    </row>
    <row r="8" spans="1:11" s="2" customFormat="1" ht="24.75" customHeight="1" x14ac:dyDescent="0.45">
      <c r="A8" s="189" t="s">
        <v>23</v>
      </c>
      <c r="B8" s="190"/>
      <c r="C8" s="190"/>
      <c r="D8" s="190"/>
      <c r="E8" s="190"/>
      <c r="F8" s="190"/>
      <c r="G8" s="190"/>
      <c r="H8" s="190"/>
      <c r="I8" s="190"/>
      <c r="J8" s="190"/>
      <c r="K8" s="191"/>
    </row>
    <row r="9" spans="1:11" s="14" customFormat="1" ht="66" customHeight="1" x14ac:dyDescent="0.45">
      <c r="A9" s="22">
        <v>1</v>
      </c>
      <c r="B9" s="50" t="s">
        <v>386</v>
      </c>
      <c r="C9" s="22">
        <v>6</v>
      </c>
      <c r="D9" s="22" t="s">
        <v>47</v>
      </c>
      <c r="E9" s="22">
        <v>1</v>
      </c>
      <c r="F9" s="22"/>
      <c r="G9" s="22"/>
      <c r="H9" s="22"/>
      <c r="I9" s="22"/>
      <c r="J9" s="22"/>
      <c r="K9" s="22"/>
    </row>
    <row r="10" spans="1:11" s="14" customFormat="1" ht="75.75" customHeight="1" x14ac:dyDescent="0.45">
      <c r="A10" s="22">
        <v>2</v>
      </c>
      <c r="B10" s="45" t="s">
        <v>387</v>
      </c>
      <c r="C10" s="22">
        <v>5</v>
      </c>
      <c r="D10" s="22" t="s">
        <v>47</v>
      </c>
      <c r="E10" s="22">
        <v>1</v>
      </c>
      <c r="F10" s="22"/>
      <c r="G10" s="22"/>
      <c r="H10" s="22"/>
      <c r="I10" s="22"/>
      <c r="J10" s="22"/>
      <c r="K10" s="22"/>
    </row>
    <row r="11" spans="1:11" s="14" customFormat="1" ht="75.75" customHeight="1" x14ac:dyDescent="0.45">
      <c r="A11" s="22">
        <v>3</v>
      </c>
      <c r="B11" s="45" t="s">
        <v>388</v>
      </c>
      <c r="C11" s="22">
        <v>12</v>
      </c>
      <c r="D11" s="22" t="s">
        <v>47</v>
      </c>
      <c r="E11" s="22">
        <v>1</v>
      </c>
      <c r="F11" s="22"/>
      <c r="G11" s="22"/>
      <c r="H11" s="22"/>
      <c r="I11" s="22"/>
      <c r="J11" s="22"/>
      <c r="K11" s="22"/>
    </row>
    <row r="12" spans="1:11" s="14" customFormat="1" ht="71.25" customHeight="1" x14ac:dyDescent="0.45">
      <c r="A12" s="22">
        <v>4</v>
      </c>
      <c r="B12" s="45" t="s">
        <v>482</v>
      </c>
      <c r="C12" s="22">
        <v>5</v>
      </c>
      <c r="D12" s="22" t="s">
        <v>47</v>
      </c>
      <c r="E12" s="22">
        <v>1</v>
      </c>
      <c r="F12" s="22"/>
      <c r="G12" s="22"/>
      <c r="H12" s="22"/>
      <c r="I12" s="22"/>
      <c r="J12" s="22"/>
      <c r="K12" s="22"/>
    </row>
    <row r="13" spans="1:11" s="14" customFormat="1" ht="54" customHeight="1" x14ac:dyDescent="0.45">
      <c r="A13" s="22">
        <v>5</v>
      </c>
      <c r="B13" s="45" t="s">
        <v>389</v>
      </c>
      <c r="C13" s="22">
        <v>5</v>
      </c>
      <c r="D13" s="22" t="s">
        <v>47</v>
      </c>
      <c r="E13" s="22">
        <v>1</v>
      </c>
      <c r="F13" s="22"/>
      <c r="G13" s="22"/>
      <c r="H13" s="22"/>
      <c r="I13" s="22"/>
      <c r="J13" s="22"/>
      <c r="K13" s="22"/>
    </row>
    <row r="14" spans="1:11" s="14" customFormat="1" ht="84" customHeight="1" x14ac:dyDescent="0.45">
      <c r="A14" s="22">
        <v>6</v>
      </c>
      <c r="B14" s="45" t="s">
        <v>390</v>
      </c>
      <c r="C14" s="22">
        <v>7</v>
      </c>
      <c r="D14" s="22" t="s">
        <v>47</v>
      </c>
      <c r="E14" s="22">
        <v>1</v>
      </c>
      <c r="F14" s="22"/>
      <c r="G14" s="22"/>
      <c r="H14" s="22"/>
      <c r="I14" s="22"/>
      <c r="J14" s="22"/>
      <c r="K14" s="22"/>
    </row>
    <row r="15" spans="1:11" s="14" customFormat="1" ht="54.75" customHeight="1" x14ac:dyDescent="0.45">
      <c r="A15" s="22">
        <v>7</v>
      </c>
      <c r="B15" s="45" t="s">
        <v>391</v>
      </c>
      <c r="C15" s="22">
        <v>3</v>
      </c>
      <c r="D15" s="22" t="s">
        <v>47</v>
      </c>
      <c r="E15" s="22">
        <v>1</v>
      </c>
      <c r="F15" s="22"/>
      <c r="G15" s="22"/>
      <c r="H15" s="22"/>
      <c r="I15" s="22"/>
      <c r="J15" s="22"/>
      <c r="K15" s="22"/>
    </row>
    <row r="16" spans="1:11" s="14" customFormat="1" ht="51.75" customHeight="1" x14ac:dyDescent="0.45">
      <c r="A16" s="22">
        <v>8</v>
      </c>
      <c r="B16" s="45" t="s">
        <v>392</v>
      </c>
      <c r="C16" s="22">
        <v>3</v>
      </c>
      <c r="D16" s="22" t="s">
        <v>47</v>
      </c>
      <c r="E16" s="22">
        <v>1</v>
      </c>
      <c r="F16" s="22"/>
      <c r="G16" s="22"/>
      <c r="H16" s="22"/>
      <c r="I16" s="22"/>
      <c r="J16" s="22"/>
      <c r="K16" s="22"/>
    </row>
    <row r="17" spans="1:11" s="14" customFormat="1" ht="51.75" customHeight="1" x14ac:dyDescent="0.45">
      <c r="A17" s="22">
        <v>9</v>
      </c>
      <c r="B17" s="45" t="s">
        <v>393</v>
      </c>
      <c r="C17" s="22">
        <v>3</v>
      </c>
      <c r="D17" s="22" t="s">
        <v>47</v>
      </c>
      <c r="E17" s="22">
        <v>1</v>
      </c>
      <c r="F17" s="22"/>
      <c r="G17" s="22"/>
      <c r="H17" s="22"/>
      <c r="I17" s="22"/>
      <c r="J17" s="22"/>
      <c r="K17" s="22"/>
    </row>
    <row r="18" spans="1:11" s="2" customFormat="1" ht="30.75" customHeight="1" x14ac:dyDescent="0.45">
      <c r="A18" s="175" t="s">
        <v>14</v>
      </c>
      <c r="B18" s="175"/>
      <c r="C18" s="175"/>
      <c r="D18" s="175"/>
      <c r="E18" s="175"/>
      <c r="F18" s="41">
        <f>12100000/1000</f>
        <v>12100</v>
      </c>
      <c r="G18" s="43"/>
      <c r="H18" s="43"/>
      <c r="I18" s="43"/>
      <c r="J18" s="43"/>
      <c r="K18" s="43"/>
    </row>
    <row r="19" spans="1:11" x14ac:dyDescent="0.5">
      <c r="A19" s="11"/>
      <c r="D19" s="3"/>
      <c r="E19" s="8"/>
      <c r="F19" s="12"/>
      <c r="G19" s="9"/>
      <c r="H19" s="9"/>
      <c r="I19" s="9"/>
      <c r="J19" s="9"/>
      <c r="K19" s="12"/>
    </row>
    <row r="20" spans="1:11" s="6" customFormat="1" x14ac:dyDescent="0.5">
      <c r="A20" s="11"/>
      <c r="D20" s="4"/>
      <c r="E20" s="5"/>
      <c r="F20" s="5"/>
      <c r="G20" s="5"/>
      <c r="H20" s="5"/>
      <c r="I20" s="5"/>
      <c r="J20" s="5"/>
      <c r="K20" s="3"/>
    </row>
  </sheetData>
  <mergeCells count="16">
    <mergeCell ref="A18:E18"/>
    <mergeCell ref="A1:K1"/>
    <mergeCell ref="A2:K2"/>
    <mergeCell ref="A3:K3"/>
    <mergeCell ref="A4:A6"/>
    <mergeCell ref="B4:B6"/>
    <mergeCell ref="C4:C6"/>
    <mergeCell ref="D4:D6"/>
    <mergeCell ref="E4:F4"/>
    <mergeCell ref="G4:J4"/>
    <mergeCell ref="K4:K6"/>
    <mergeCell ref="E5:E6"/>
    <mergeCell ref="F5:F6"/>
    <mergeCell ref="G5:H5"/>
    <mergeCell ref="I5:J5"/>
    <mergeCell ref="A8:K8"/>
  </mergeCells>
  <pageMargins left="0.25" right="0.25" top="0.75" bottom="0.52" header="0.3" footer="0.3"/>
  <pageSetup paperSize="9" scale="70" orientation="portrait" r:id="rId1"/>
  <headerFooter>
    <oddFooter xml:space="preserve">&amp;C &amp;R                    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topLeftCell="A11" zoomScale="89" zoomScaleNormal="78" zoomScaleSheetLayoutView="89" workbookViewId="0">
      <selection sqref="A1:K1"/>
    </sheetView>
  </sheetViews>
  <sheetFormatPr defaultColWidth="9.140625" defaultRowHeight="24" x14ac:dyDescent="0.5"/>
  <cols>
    <col min="1" max="1" width="6" style="10" customWidth="1"/>
    <col min="2" max="2" width="57.5703125" style="1" customWidth="1"/>
    <col min="3" max="3" width="7.28515625" style="1" customWidth="1"/>
    <col min="4" max="4" width="6.85546875" style="7" customWidth="1"/>
    <col min="5" max="5" width="9.5703125" style="1" customWidth="1"/>
    <col min="6" max="6" width="13" style="1" customWidth="1"/>
    <col min="7" max="7" width="7.5703125" style="1" customWidth="1"/>
    <col min="8" max="8" width="7" style="1" customWidth="1"/>
    <col min="9" max="9" width="8" style="1" customWidth="1"/>
    <col min="10" max="10" width="8.5703125" style="1" customWidth="1"/>
    <col min="11" max="11" width="9.7109375" style="15" customWidth="1"/>
    <col min="12" max="16384" width="9.140625" style="1"/>
  </cols>
  <sheetData>
    <row r="1" spans="1:11" ht="52.5" customHeight="1" x14ac:dyDescent="0.5">
      <c r="A1" s="176" t="s">
        <v>13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s="18" customFormat="1" ht="23.25" customHeight="1" x14ac:dyDescent="0.65">
      <c r="A2" s="188" t="s">
        <v>11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</row>
    <row r="3" spans="1:11" ht="54.75" customHeight="1" x14ac:dyDescent="0.5">
      <c r="A3" s="192" t="s">
        <v>463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</row>
    <row r="4" spans="1:11" s="2" customFormat="1" ht="24.75" customHeight="1" x14ac:dyDescent="0.45">
      <c r="A4" s="193" t="s">
        <v>4</v>
      </c>
      <c r="B4" s="180" t="s">
        <v>5</v>
      </c>
      <c r="C4" s="179" t="s">
        <v>12</v>
      </c>
      <c r="D4" s="179" t="s">
        <v>0</v>
      </c>
      <c r="E4" s="180" t="s">
        <v>6</v>
      </c>
      <c r="F4" s="180"/>
      <c r="G4" s="180" t="s">
        <v>3</v>
      </c>
      <c r="H4" s="180"/>
      <c r="I4" s="180"/>
      <c r="J4" s="180"/>
      <c r="K4" s="179" t="s">
        <v>1</v>
      </c>
    </row>
    <row r="5" spans="1:11" s="2" customFormat="1" ht="27" customHeight="1" x14ac:dyDescent="0.45">
      <c r="A5" s="193"/>
      <c r="B5" s="180"/>
      <c r="C5" s="179"/>
      <c r="D5" s="179"/>
      <c r="E5" s="180" t="s">
        <v>7</v>
      </c>
      <c r="F5" s="186" t="s">
        <v>15</v>
      </c>
      <c r="G5" s="180" t="s">
        <v>8</v>
      </c>
      <c r="H5" s="180"/>
      <c r="I5" s="180" t="s">
        <v>2</v>
      </c>
      <c r="J5" s="180"/>
      <c r="K5" s="179"/>
    </row>
    <row r="6" spans="1:11" s="16" customFormat="1" ht="21" customHeight="1" x14ac:dyDescent="0.45">
      <c r="A6" s="193"/>
      <c r="B6" s="180"/>
      <c r="C6" s="179"/>
      <c r="D6" s="179"/>
      <c r="E6" s="180"/>
      <c r="F6" s="186"/>
      <c r="G6" s="44" t="s">
        <v>9</v>
      </c>
      <c r="H6" s="44" t="s">
        <v>10</v>
      </c>
      <c r="I6" s="44" t="s">
        <v>9</v>
      </c>
      <c r="J6" s="44" t="s">
        <v>10</v>
      </c>
      <c r="K6" s="179"/>
    </row>
    <row r="7" spans="1:11" s="17" customFormat="1" ht="24" customHeight="1" x14ac:dyDescent="0.45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1">
        <v>10</v>
      </c>
      <c r="K7" s="21">
        <v>11</v>
      </c>
    </row>
    <row r="8" spans="1:11" s="2" customFormat="1" ht="24.75" customHeight="1" x14ac:dyDescent="0.45">
      <c r="A8" s="189" t="s">
        <v>23</v>
      </c>
      <c r="B8" s="190"/>
      <c r="C8" s="190"/>
      <c r="D8" s="190"/>
      <c r="E8" s="190"/>
      <c r="F8" s="190"/>
      <c r="G8" s="190"/>
      <c r="H8" s="190"/>
      <c r="I8" s="190"/>
      <c r="J8" s="190"/>
      <c r="K8" s="191"/>
    </row>
    <row r="9" spans="1:11" s="14" customFormat="1" ht="84.75" customHeight="1" x14ac:dyDescent="0.45">
      <c r="A9" s="22">
        <v>1</v>
      </c>
      <c r="B9" s="50" t="s">
        <v>380</v>
      </c>
      <c r="C9" s="22">
        <v>1</v>
      </c>
      <c r="D9" s="22" t="s">
        <v>32</v>
      </c>
      <c r="E9" s="22">
        <v>1</v>
      </c>
      <c r="F9" s="22">
        <f>10000000/1000</f>
        <v>10000</v>
      </c>
      <c r="G9" s="22"/>
      <c r="H9" s="22"/>
      <c r="I9" s="22"/>
      <c r="J9" s="22"/>
      <c r="K9" s="22"/>
    </row>
    <row r="10" spans="1:11" s="14" customFormat="1" ht="84.75" customHeight="1" x14ac:dyDescent="0.45">
      <c r="A10" s="22">
        <v>2</v>
      </c>
      <c r="B10" s="50" t="s">
        <v>423</v>
      </c>
      <c r="C10" s="22">
        <v>6</v>
      </c>
      <c r="D10" s="22" t="s">
        <v>47</v>
      </c>
      <c r="E10" s="22">
        <v>1.5</v>
      </c>
      <c r="F10" s="22">
        <f>5000000/1000</f>
        <v>5000</v>
      </c>
      <c r="G10" s="22"/>
      <c r="H10" s="22"/>
      <c r="I10" s="22"/>
      <c r="J10" s="22"/>
      <c r="K10" s="22"/>
    </row>
    <row r="11" spans="1:11" s="14" customFormat="1" ht="47.25" customHeight="1" x14ac:dyDescent="0.45">
      <c r="A11" s="22">
        <v>3</v>
      </c>
      <c r="B11" s="45" t="s">
        <v>381</v>
      </c>
      <c r="C11" s="22">
        <v>12</v>
      </c>
      <c r="D11" s="22" t="s">
        <v>47</v>
      </c>
      <c r="E11" s="22">
        <v>1</v>
      </c>
      <c r="F11" s="22">
        <f t="shared" ref="F11:F16" si="0">5000000/1000</f>
        <v>5000</v>
      </c>
      <c r="G11" s="22"/>
      <c r="H11" s="22"/>
      <c r="I11" s="22"/>
      <c r="J11" s="22"/>
      <c r="K11" s="22"/>
    </row>
    <row r="12" spans="1:11" s="14" customFormat="1" ht="75.75" customHeight="1" x14ac:dyDescent="0.45">
      <c r="A12" s="22">
        <v>4</v>
      </c>
      <c r="B12" s="45" t="s">
        <v>382</v>
      </c>
      <c r="C12" s="22">
        <v>16</v>
      </c>
      <c r="D12" s="22" t="s">
        <v>47</v>
      </c>
      <c r="E12" s="22">
        <v>1</v>
      </c>
      <c r="F12" s="22">
        <f t="shared" si="0"/>
        <v>5000</v>
      </c>
      <c r="G12" s="22"/>
      <c r="H12" s="22"/>
      <c r="I12" s="22"/>
      <c r="J12" s="22"/>
      <c r="K12" s="22"/>
    </row>
    <row r="13" spans="1:11" s="14" customFormat="1" ht="66.75" customHeight="1" x14ac:dyDescent="0.45">
      <c r="A13" s="22">
        <v>5</v>
      </c>
      <c r="B13" s="45" t="s">
        <v>481</v>
      </c>
      <c r="C13" s="22">
        <v>18</v>
      </c>
      <c r="D13" s="22" t="s">
        <v>47</v>
      </c>
      <c r="E13" s="22">
        <v>1</v>
      </c>
      <c r="F13" s="22">
        <f t="shared" si="0"/>
        <v>5000</v>
      </c>
      <c r="G13" s="22"/>
      <c r="H13" s="22"/>
      <c r="I13" s="22"/>
      <c r="J13" s="22"/>
      <c r="K13" s="22"/>
    </row>
    <row r="14" spans="1:11" s="14" customFormat="1" ht="54" customHeight="1" x14ac:dyDescent="0.45">
      <c r="A14" s="22">
        <v>6</v>
      </c>
      <c r="B14" s="45" t="s">
        <v>383</v>
      </c>
      <c r="C14" s="22">
        <v>8</v>
      </c>
      <c r="D14" s="22" t="s">
        <v>47</v>
      </c>
      <c r="E14" s="22">
        <v>1</v>
      </c>
      <c r="F14" s="22">
        <f t="shared" si="0"/>
        <v>5000</v>
      </c>
      <c r="G14" s="22"/>
      <c r="H14" s="22"/>
      <c r="I14" s="22"/>
      <c r="J14" s="22"/>
      <c r="K14" s="22"/>
    </row>
    <row r="15" spans="1:11" s="14" customFormat="1" ht="56.25" customHeight="1" x14ac:dyDescent="0.45">
      <c r="A15" s="22">
        <v>7</v>
      </c>
      <c r="B15" s="45" t="s">
        <v>384</v>
      </c>
      <c r="C15" s="22">
        <v>7</v>
      </c>
      <c r="D15" s="22" t="s">
        <v>47</v>
      </c>
      <c r="E15" s="22">
        <v>1</v>
      </c>
      <c r="F15" s="22">
        <f t="shared" si="0"/>
        <v>5000</v>
      </c>
      <c r="G15" s="22"/>
      <c r="H15" s="22"/>
      <c r="I15" s="22"/>
      <c r="J15" s="22"/>
      <c r="K15" s="22"/>
    </row>
    <row r="16" spans="1:11" s="14" customFormat="1" ht="54.75" customHeight="1" x14ac:dyDescent="0.45">
      <c r="A16" s="22">
        <v>8</v>
      </c>
      <c r="B16" s="45" t="s">
        <v>385</v>
      </c>
      <c r="C16" s="22">
        <v>9</v>
      </c>
      <c r="D16" s="22" t="s">
        <v>47</v>
      </c>
      <c r="E16" s="22">
        <v>1</v>
      </c>
      <c r="F16" s="22">
        <f t="shared" si="0"/>
        <v>5000</v>
      </c>
      <c r="G16" s="22"/>
      <c r="H16" s="22"/>
      <c r="I16" s="22"/>
      <c r="J16" s="22"/>
      <c r="K16" s="22"/>
    </row>
    <row r="17" spans="1:11" s="2" customFormat="1" ht="30.75" customHeight="1" x14ac:dyDescent="0.45">
      <c r="A17" s="175" t="s">
        <v>14</v>
      </c>
      <c r="B17" s="175"/>
      <c r="C17" s="175"/>
      <c r="D17" s="175"/>
      <c r="E17" s="175"/>
      <c r="F17" s="41">
        <f>SUM(F9:F16)</f>
        <v>45000</v>
      </c>
      <c r="G17" s="43"/>
      <c r="H17" s="43"/>
      <c r="I17" s="43"/>
      <c r="J17" s="43"/>
      <c r="K17" s="43"/>
    </row>
    <row r="18" spans="1:11" x14ac:dyDescent="0.5">
      <c r="A18" s="11"/>
      <c r="D18" s="3"/>
      <c r="E18" s="8"/>
      <c r="F18" s="12"/>
      <c r="G18" s="9"/>
      <c r="H18" s="9"/>
      <c r="I18" s="9"/>
      <c r="J18" s="9"/>
      <c r="K18" s="12"/>
    </row>
    <row r="19" spans="1:11" s="6" customFormat="1" x14ac:dyDescent="0.5">
      <c r="A19" s="11"/>
      <c r="D19" s="4"/>
      <c r="E19" s="5"/>
      <c r="F19" s="5"/>
      <c r="G19" s="5"/>
      <c r="H19" s="5"/>
      <c r="I19" s="5"/>
      <c r="J19" s="5"/>
      <c r="K19" s="3"/>
    </row>
  </sheetData>
  <mergeCells count="16">
    <mergeCell ref="A1:K1"/>
    <mergeCell ref="A2:K2"/>
    <mergeCell ref="A3:K3"/>
    <mergeCell ref="A4:A6"/>
    <mergeCell ref="B4:B6"/>
    <mergeCell ref="C4:C6"/>
    <mergeCell ref="D4:D6"/>
    <mergeCell ref="E4:F4"/>
    <mergeCell ref="G4:J4"/>
    <mergeCell ref="A17:E17"/>
    <mergeCell ref="K4:K6"/>
    <mergeCell ref="E5:E6"/>
    <mergeCell ref="F5:F6"/>
    <mergeCell ref="G5:H5"/>
    <mergeCell ref="I5:J5"/>
    <mergeCell ref="A8:K8"/>
  </mergeCells>
  <pageMargins left="0.25" right="0.25" top="0.75" bottom="0.52" header="0.3" footer="0.3"/>
  <pageSetup paperSize="9" scale="70" orientation="portrait" r:id="rId1"/>
  <headerFooter>
    <oddFooter xml:space="preserve">&amp;C &amp;R                    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view="pageBreakPreview" topLeftCell="A4" zoomScale="89" zoomScaleNormal="78" zoomScaleSheetLayoutView="89" workbookViewId="0">
      <selection activeCell="I11" sqref="I11"/>
    </sheetView>
  </sheetViews>
  <sheetFormatPr defaultColWidth="9.140625" defaultRowHeight="24" x14ac:dyDescent="0.5"/>
  <cols>
    <col min="1" max="1" width="6" style="10" customWidth="1"/>
    <col min="2" max="2" width="54.42578125" style="1" customWidth="1"/>
    <col min="3" max="3" width="6.5703125" style="1" customWidth="1"/>
    <col min="4" max="4" width="7.42578125" style="7" customWidth="1"/>
    <col min="5" max="5" width="8" style="1" customWidth="1"/>
    <col min="6" max="6" width="13.42578125" style="1" customWidth="1"/>
    <col min="7" max="7" width="8" style="1" customWidth="1"/>
    <col min="8" max="8" width="6.85546875" style="1" customWidth="1"/>
    <col min="9" max="9" width="9.42578125" style="1" customWidth="1"/>
    <col min="10" max="10" width="8.7109375" style="1" customWidth="1"/>
    <col min="11" max="11" width="10.5703125" style="15" customWidth="1"/>
    <col min="12" max="16384" width="9.140625" style="1"/>
  </cols>
  <sheetData>
    <row r="1" spans="1:11" ht="52.5" customHeight="1" x14ac:dyDescent="0.5">
      <c r="A1" s="176" t="s">
        <v>13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s="18" customFormat="1" ht="23.25" customHeight="1" x14ac:dyDescent="0.65">
      <c r="A2" s="188" t="s">
        <v>11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</row>
    <row r="3" spans="1:11" ht="48.75" customHeight="1" x14ac:dyDescent="0.5">
      <c r="A3" s="178" t="s">
        <v>462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</row>
    <row r="4" spans="1:11" s="2" customFormat="1" ht="24.75" customHeight="1" x14ac:dyDescent="0.45">
      <c r="A4" s="193" t="s">
        <v>4</v>
      </c>
      <c r="B4" s="180" t="s">
        <v>5</v>
      </c>
      <c r="C4" s="179" t="s">
        <v>12</v>
      </c>
      <c r="D4" s="179" t="s">
        <v>0</v>
      </c>
      <c r="E4" s="180" t="s">
        <v>6</v>
      </c>
      <c r="F4" s="180"/>
      <c r="G4" s="180" t="s">
        <v>3</v>
      </c>
      <c r="H4" s="180"/>
      <c r="I4" s="180"/>
      <c r="J4" s="180"/>
      <c r="K4" s="179" t="s">
        <v>1</v>
      </c>
    </row>
    <row r="5" spans="1:11" s="2" customFormat="1" ht="27" customHeight="1" x14ac:dyDescent="0.45">
      <c r="A5" s="193"/>
      <c r="B5" s="180"/>
      <c r="C5" s="179"/>
      <c r="D5" s="179"/>
      <c r="E5" s="180" t="s">
        <v>7</v>
      </c>
      <c r="F5" s="186" t="s">
        <v>15</v>
      </c>
      <c r="G5" s="180" t="s">
        <v>8</v>
      </c>
      <c r="H5" s="180"/>
      <c r="I5" s="180" t="s">
        <v>2</v>
      </c>
      <c r="J5" s="180"/>
      <c r="K5" s="179"/>
    </row>
    <row r="6" spans="1:11" s="16" customFormat="1" ht="21" customHeight="1" x14ac:dyDescent="0.45">
      <c r="A6" s="193"/>
      <c r="B6" s="180"/>
      <c r="C6" s="179"/>
      <c r="D6" s="179"/>
      <c r="E6" s="180"/>
      <c r="F6" s="186"/>
      <c r="G6" s="44" t="s">
        <v>9</v>
      </c>
      <c r="H6" s="44" t="s">
        <v>10</v>
      </c>
      <c r="I6" s="44" t="s">
        <v>9</v>
      </c>
      <c r="J6" s="44" t="s">
        <v>10</v>
      </c>
      <c r="K6" s="179"/>
    </row>
    <row r="7" spans="1:11" s="17" customFormat="1" ht="24" customHeight="1" x14ac:dyDescent="0.45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1">
        <v>10</v>
      </c>
      <c r="K7" s="21">
        <v>11</v>
      </c>
    </row>
    <row r="8" spans="1:11" s="2" customFormat="1" ht="24.75" customHeight="1" x14ac:dyDescent="0.45">
      <c r="A8" s="189" t="s">
        <v>23</v>
      </c>
      <c r="B8" s="190"/>
      <c r="C8" s="190"/>
      <c r="D8" s="190"/>
      <c r="E8" s="190"/>
      <c r="F8" s="190"/>
      <c r="G8" s="190"/>
      <c r="H8" s="190"/>
      <c r="I8" s="190"/>
      <c r="J8" s="190"/>
      <c r="K8" s="191"/>
    </row>
    <row r="9" spans="1:11" s="14" customFormat="1" ht="45.75" customHeight="1" x14ac:dyDescent="0.45">
      <c r="A9" s="22">
        <v>1</v>
      </c>
      <c r="B9" s="45" t="s">
        <v>376</v>
      </c>
      <c r="C9" s="22">
        <v>8</v>
      </c>
      <c r="D9" s="22" t="s">
        <v>47</v>
      </c>
      <c r="E9" s="22">
        <f>700/1000</f>
        <v>0.7</v>
      </c>
      <c r="F9" s="22">
        <f>15000000/1000</f>
        <v>15000</v>
      </c>
      <c r="G9" s="22"/>
      <c r="H9" s="22"/>
      <c r="I9" s="22"/>
      <c r="J9" s="22"/>
      <c r="K9" s="22"/>
    </row>
    <row r="10" spans="1:11" s="14" customFormat="1" ht="47.25" customHeight="1" x14ac:dyDescent="0.45">
      <c r="A10" s="22">
        <v>2</v>
      </c>
      <c r="B10" s="45" t="s">
        <v>377</v>
      </c>
      <c r="C10" s="22">
        <v>5</v>
      </c>
      <c r="D10" s="22" t="s">
        <v>47</v>
      </c>
      <c r="E10" s="22"/>
      <c r="F10" s="22">
        <f>13000000/1000</f>
        <v>13000</v>
      </c>
      <c r="G10" s="22"/>
      <c r="H10" s="22"/>
      <c r="I10" s="22"/>
      <c r="J10" s="22"/>
      <c r="K10" s="22"/>
    </row>
    <row r="11" spans="1:11" s="14" customFormat="1" ht="66.75" customHeight="1" x14ac:dyDescent="0.45">
      <c r="A11" s="22">
        <v>3</v>
      </c>
      <c r="B11" s="45" t="s">
        <v>378</v>
      </c>
      <c r="C11" s="22">
        <v>4</v>
      </c>
      <c r="D11" s="22" t="s">
        <v>47</v>
      </c>
      <c r="E11" s="22"/>
      <c r="F11" s="22">
        <f>5000000/1000</f>
        <v>5000</v>
      </c>
      <c r="G11" s="22"/>
      <c r="H11" s="22"/>
      <c r="I11" s="22"/>
      <c r="J11" s="22"/>
      <c r="K11" s="22"/>
    </row>
    <row r="12" spans="1:11" s="2" customFormat="1" ht="30.75" customHeight="1" x14ac:dyDescent="0.45">
      <c r="A12" s="175" t="s">
        <v>14</v>
      </c>
      <c r="B12" s="175"/>
      <c r="C12" s="175"/>
      <c r="D12" s="175"/>
      <c r="E12" s="175"/>
      <c r="F12" s="41">
        <f>SUM(F9:F11)</f>
        <v>33000</v>
      </c>
      <c r="G12" s="43"/>
      <c r="H12" s="43"/>
      <c r="I12" s="43"/>
      <c r="J12" s="43"/>
      <c r="K12" s="43"/>
    </row>
    <row r="13" spans="1:11" x14ac:dyDescent="0.5">
      <c r="A13" s="11"/>
      <c r="D13" s="3"/>
      <c r="E13" s="8"/>
      <c r="F13" s="12"/>
      <c r="G13" s="9"/>
      <c r="H13" s="9"/>
      <c r="I13" s="9"/>
      <c r="J13" s="9"/>
      <c r="K13" s="12"/>
    </row>
    <row r="14" spans="1:11" s="6" customFormat="1" x14ac:dyDescent="0.5">
      <c r="A14" s="11"/>
      <c r="D14" s="4"/>
      <c r="E14" s="5"/>
      <c r="F14" s="5"/>
      <c r="G14" s="5"/>
      <c r="H14" s="5"/>
      <c r="I14" s="5"/>
      <c r="J14" s="5"/>
      <c r="K14" s="3"/>
    </row>
  </sheetData>
  <mergeCells count="16">
    <mergeCell ref="A1:K1"/>
    <mergeCell ref="A2:K2"/>
    <mergeCell ref="A3:K3"/>
    <mergeCell ref="A4:A6"/>
    <mergeCell ref="B4:B6"/>
    <mergeCell ref="C4:C6"/>
    <mergeCell ref="D4:D6"/>
    <mergeCell ref="E4:F4"/>
    <mergeCell ref="G4:J4"/>
    <mergeCell ref="A12:E12"/>
    <mergeCell ref="K4:K6"/>
    <mergeCell ref="E5:E6"/>
    <mergeCell ref="F5:F6"/>
    <mergeCell ref="G5:H5"/>
    <mergeCell ref="I5:J5"/>
    <mergeCell ref="A8:K8"/>
  </mergeCells>
  <pageMargins left="0.25" right="0.25" top="0.75" bottom="0.52" header="0.3" footer="0.3"/>
  <pageSetup paperSize="9" scale="70" orientation="portrait" r:id="rId1"/>
  <headerFooter>
    <oddFooter xml:space="preserve">&amp;C &amp;R                    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"/>
  <sheetViews>
    <sheetView view="pageBreakPreview" topLeftCell="A140" zoomScale="89" zoomScaleNormal="78" zoomScaleSheetLayoutView="89" workbookViewId="0">
      <selection activeCell="K146" sqref="K146"/>
    </sheetView>
  </sheetViews>
  <sheetFormatPr defaultColWidth="9.140625" defaultRowHeight="21" x14ac:dyDescent="0.45"/>
  <cols>
    <col min="1" max="1" width="6" style="82" customWidth="1"/>
    <col min="2" max="2" width="58.85546875" style="67" customWidth="1"/>
    <col min="3" max="3" width="7.7109375" style="67" customWidth="1"/>
    <col min="4" max="4" width="8.42578125" style="83" customWidth="1"/>
    <col min="5" max="5" width="8.140625" style="67" customWidth="1"/>
    <col min="6" max="6" width="11.5703125" style="67" customWidth="1"/>
    <col min="7" max="7" width="8.5703125" style="67" customWidth="1"/>
    <col min="8" max="8" width="7" style="67" customWidth="1"/>
    <col min="9" max="9" width="7.28515625" style="67" customWidth="1"/>
    <col min="10" max="10" width="8.28515625" style="67" customWidth="1"/>
    <col min="11" max="11" width="9.28515625" style="84" customWidth="1"/>
    <col min="12" max="16384" width="9.140625" style="67"/>
  </cols>
  <sheetData>
    <row r="1" spans="1:11" ht="52.5" customHeight="1" x14ac:dyDescent="0.35">
      <c r="A1" s="176" t="s">
        <v>13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s="68" customFormat="1" ht="23.25" customHeight="1" x14ac:dyDescent="0.45">
      <c r="A2" s="188" t="s">
        <v>11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</row>
    <row r="3" spans="1:11" ht="47.25" customHeight="1" x14ac:dyDescent="0.35">
      <c r="A3" s="178" t="s">
        <v>457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</row>
    <row r="4" spans="1:11" s="69" customFormat="1" ht="24.75" customHeight="1" x14ac:dyDescent="0.4">
      <c r="A4" s="193" t="s">
        <v>4</v>
      </c>
      <c r="B4" s="180" t="s">
        <v>5</v>
      </c>
      <c r="C4" s="179" t="s">
        <v>12</v>
      </c>
      <c r="D4" s="179" t="s">
        <v>0</v>
      </c>
      <c r="E4" s="180" t="s">
        <v>6</v>
      </c>
      <c r="F4" s="180"/>
      <c r="G4" s="180" t="s">
        <v>3</v>
      </c>
      <c r="H4" s="180"/>
      <c r="I4" s="180"/>
      <c r="J4" s="180"/>
      <c r="K4" s="179" t="s">
        <v>1</v>
      </c>
    </row>
    <row r="5" spans="1:11" s="69" customFormat="1" ht="27" customHeight="1" x14ac:dyDescent="0.4">
      <c r="A5" s="193"/>
      <c r="B5" s="180"/>
      <c r="C5" s="179"/>
      <c r="D5" s="179"/>
      <c r="E5" s="180" t="s">
        <v>7</v>
      </c>
      <c r="F5" s="186" t="s">
        <v>15</v>
      </c>
      <c r="G5" s="180" t="s">
        <v>8</v>
      </c>
      <c r="H5" s="180"/>
      <c r="I5" s="180" t="s">
        <v>2</v>
      </c>
      <c r="J5" s="180"/>
      <c r="K5" s="179"/>
    </row>
    <row r="6" spans="1:11" s="70" customFormat="1" ht="21" customHeight="1" x14ac:dyDescent="0.35">
      <c r="A6" s="193"/>
      <c r="B6" s="180"/>
      <c r="C6" s="179"/>
      <c r="D6" s="179"/>
      <c r="E6" s="180"/>
      <c r="F6" s="186"/>
      <c r="G6" s="61" t="s">
        <v>9</v>
      </c>
      <c r="H6" s="61" t="s">
        <v>10</v>
      </c>
      <c r="I6" s="61" t="s">
        <v>9</v>
      </c>
      <c r="J6" s="61" t="s">
        <v>10</v>
      </c>
      <c r="K6" s="179"/>
    </row>
    <row r="7" spans="1:11" s="71" customFormat="1" ht="24" customHeight="1" x14ac:dyDescent="0.3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1">
        <v>10</v>
      </c>
      <c r="K7" s="21">
        <v>11</v>
      </c>
    </row>
    <row r="8" spans="1:11" s="69" customFormat="1" ht="24.75" customHeight="1" x14ac:dyDescent="0.4">
      <c r="A8" s="189" t="s">
        <v>23</v>
      </c>
      <c r="B8" s="190"/>
      <c r="C8" s="190"/>
      <c r="D8" s="190"/>
      <c r="E8" s="190"/>
      <c r="F8" s="190"/>
      <c r="G8" s="190"/>
      <c r="H8" s="190"/>
      <c r="I8" s="190"/>
      <c r="J8" s="190"/>
      <c r="K8" s="191"/>
    </row>
    <row r="9" spans="1:11" s="72" customFormat="1" ht="45.75" customHeight="1" x14ac:dyDescent="0.4">
      <c r="A9" s="22">
        <v>1</v>
      </c>
      <c r="B9" s="45" t="s">
        <v>49</v>
      </c>
      <c r="C9" s="22">
        <v>1</v>
      </c>
      <c r="D9" s="22" t="s">
        <v>47</v>
      </c>
      <c r="E9" s="29">
        <f>130/1000</f>
        <v>0.13</v>
      </c>
      <c r="F9" s="22">
        <f>50000/1000</f>
        <v>50</v>
      </c>
      <c r="G9" s="22"/>
      <c r="H9" s="22"/>
      <c r="I9" s="22"/>
      <c r="J9" s="22"/>
      <c r="K9" s="22"/>
    </row>
    <row r="10" spans="1:11" s="72" customFormat="1" ht="47.25" customHeight="1" x14ac:dyDescent="0.4">
      <c r="A10" s="22">
        <v>2</v>
      </c>
      <c r="B10" s="45" t="s">
        <v>48</v>
      </c>
      <c r="C10" s="22">
        <v>1</v>
      </c>
      <c r="D10" s="22" t="s">
        <v>47</v>
      </c>
      <c r="E10" s="29">
        <f t="shared" ref="E10:E19" si="0">130/1000</f>
        <v>0.13</v>
      </c>
      <c r="F10" s="22">
        <f t="shared" ref="F10:F19" si="1">50000/1000</f>
        <v>50</v>
      </c>
      <c r="G10" s="22"/>
      <c r="H10" s="22"/>
      <c r="I10" s="22"/>
      <c r="J10" s="22"/>
      <c r="K10" s="22"/>
    </row>
    <row r="11" spans="1:11" s="72" customFormat="1" ht="75.75" customHeight="1" x14ac:dyDescent="0.4">
      <c r="A11" s="22">
        <v>3</v>
      </c>
      <c r="B11" s="45" t="s">
        <v>50</v>
      </c>
      <c r="C11" s="22">
        <v>1</v>
      </c>
      <c r="D11" s="22" t="s">
        <v>47</v>
      </c>
      <c r="E11" s="29">
        <f t="shared" si="0"/>
        <v>0.13</v>
      </c>
      <c r="F11" s="22">
        <f t="shared" si="1"/>
        <v>50</v>
      </c>
      <c r="G11" s="22"/>
      <c r="H11" s="22"/>
      <c r="I11" s="22"/>
      <c r="J11" s="22"/>
      <c r="K11" s="22"/>
    </row>
    <row r="12" spans="1:11" s="72" customFormat="1" ht="66.75" customHeight="1" x14ac:dyDescent="0.4">
      <c r="A12" s="22">
        <v>4</v>
      </c>
      <c r="B12" s="45" t="s">
        <v>51</v>
      </c>
      <c r="C12" s="22">
        <v>1</v>
      </c>
      <c r="D12" s="22" t="s">
        <v>47</v>
      </c>
      <c r="E12" s="29">
        <f t="shared" si="0"/>
        <v>0.13</v>
      </c>
      <c r="F12" s="22">
        <f t="shared" si="1"/>
        <v>50</v>
      </c>
      <c r="G12" s="22"/>
      <c r="H12" s="22"/>
      <c r="I12" s="22"/>
      <c r="J12" s="22"/>
      <c r="K12" s="22"/>
    </row>
    <row r="13" spans="1:11" s="72" customFormat="1" ht="54" customHeight="1" x14ac:dyDescent="0.4">
      <c r="A13" s="22">
        <v>5</v>
      </c>
      <c r="B13" s="45" t="s">
        <v>52</v>
      </c>
      <c r="C13" s="22">
        <v>1</v>
      </c>
      <c r="D13" s="22" t="s">
        <v>47</v>
      </c>
      <c r="E13" s="29">
        <f t="shared" si="0"/>
        <v>0.13</v>
      </c>
      <c r="F13" s="22">
        <f t="shared" si="1"/>
        <v>50</v>
      </c>
      <c r="G13" s="22"/>
      <c r="H13" s="22"/>
      <c r="I13" s="22"/>
      <c r="J13" s="22"/>
      <c r="K13" s="22"/>
    </row>
    <row r="14" spans="1:11" s="72" customFormat="1" ht="56.25" customHeight="1" x14ac:dyDescent="0.4">
      <c r="A14" s="22">
        <v>6</v>
      </c>
      <c r="B14" s="45" t="s">
        <v>63</v>
      </c>
      <c r="C14" s="22">
        <v>1</v>
      </c>
      <c r="D14" s="22" t="s">
        <v>47</v>
      </c>
      <c r="E14" s="29">
        <f t="shared" si="0"/>
        <v>0.13</v>
      </c>
      <c r="F14" s="22">
        <f t="shared" si="1"/>
        <v>50</v>
      </c>
      <c r="G14" s="22"/>
      <c r="H14" s="22"/>
      <c r="I14" s="22"/>
      <c r="J14" s="22"/>
      <c r="K14" s="22"/>
    </row>
    <row r="15" spans="1:11" s="72" customFormat="1" ht="54.75" customHeight="1" x14ac:dyDescent="0.4">
      <c r="A15" s="22">
        <v>7</v>
      </c>
      <c r="B15" s="45" t="s">
        <v>53</v>
      </c>
      <c r="C15" s="22">
        <v>1</v>
      </c>
      <c r="D15" s="22" t="s">
        <v>47</v>
      </c>
      <c r="E15" s="29">
        <f t="shared" si="0"/>
        <v>0.13</v>
      </c>
      <c r="F15" s="22">
        <f t="shared" si="1"/>
        <v>50</v>
      </c>
      <c r="G15" s="22"/>
      <c r="H15" s="22"/>
      <c r="I15" s="22"/>
      <c r="J15" s="22"/>
      <c r="K15" s="22"/>
    </row>
    <row r="16" spans="1:11" s="72" customFormat="1" ht="51.75" customHeight="1" x14ac:dyDescent="0.4">
      <c r="A16" s="22">
        <v>8</v>
      </c>
      <c r="B16" s="45" t="s">
        <v>54</v>
      </c>
      <c r="C16" s="22">
        <v>1</v>
      </c>
      <c r="D16" s="22" t="s">
        <v>47</v>
      </c>
      <c r="E16" s="29">
        <f t="shared" si="0"/>
        <v>0.13</v>
      </c>
      <c r="F16" s="22">
        <f t="shared" si="1"/>
        <v>50</v>
      </c>
      <c r="G16" s="22"/>
      <c r="H16" s="22"/>
      <c r="I16" s="22"/>
      <c r="J16" s="22"/>
      <c r="K16" s="22"/>
    </row>
    <row r="17" spans="1:11" s="72" customFormat="1" ht="48" customHeight="1" x14ac:dyDescent="0.4">
      <c r="A17" s="22">
        <v>9</v>
      </c>
      <c r="B17" s="45" t="s">
        <v>55</v>
      </c>
      <c r="C17" s="22">
        <v>1</v>
      </c>
      <c r="D17" s="22" t="s">
        <v>47</v>
      </c>
      <c r="E17" s="29">
        <f t="shared" si="0"/>
        <v>0.13</v>
      </c>
      <c r="F17" s="22">
        <f t="shared" si="1"/>
        <v>50</v>
      </c>
      <c r="G17" s="22"/>
      <c r="H17" s="22"/>
      <c r="I17" s="22"/>
      <c r="J17" s="22"/>
      <c r="K17" s="22"/>
    </row>
    <row r="18" spans="1:11" s="72" customFormat="1" ht="47.25" customHeight="1" x14ac:dyDescent="0.4">
      <c r="A18" s="22">
        <v>10</v>
      </c>
      <c r="B18" s="45" t="s">
        <v>56</v>
      </c>
      <c r="C18" s="22">
        <v>1</v>
      </c>
      <c r="D18" s="22" t="s">
        <v>47</v>
      </c>
      <c r="E18" s="29">
        <f t="shared" si="0"/>
        <v>0.13</v>
      </c>
      <c r="F18" s="22">
        <f t="shared" si="1"/>
        <v>50</v>
      </c>
      <c r="G18" s="22"/>
      <c r="H18" s="22"/>
      <c r="I18" s="22"/>
      <c r="J18" s="22"/>
      <c r="K18" s="22"/>
    </row>
    <row r="19" spans="1:11" s="72" customFormat="1" ht="45.75" customHeight="1" x14ac:dyDescent="0.4">
      <c r="A19" s="22">
        <v>11</v>
      </c>
      <c r="B19" s="45" t="s">
        <v>57</v>
      </c>
      <c r="C19" s="22">
        <v>1</v>
      </c>
      <c r="D19" s="22" t="s">
        <v>47</v>
      </c>
      <c r="E19" s="29">
        <f t="shared" si="0"/>
        <v>0.13</v>
      </c>
      <c r="F19" s="22">
        <f t="shared" si="1"/>
        <v>50</v>
      </c>
      <c r="G19" s="22"/>
      <c r="H19" s="22"/>
      <c r="I19" s="22"/>
      <c r="J19" s="22"/>
      <c r="K19" s="22"/>
    </row>
    <row r="20" spans="1:11" s="72" customFormat="1" ht="45.75" customHeight="1" x14ac:dyDescent="0.4">
      <c r="A20" s="22">
        <v>12</v>
      </c>
      <c r="B20" s="25" t="s">
        <v>285</v>
      </c>
      <c r="C20" s="22">
        <v>2</v>
      </c>
      <c r="D20" s="22" t="s">
        <v>47</v>
      </c>
      <c r="E20" s="29">
        <f>360/1000</f>
        <v>0.36</v>
      </c>
      <c r="F20" s="22">
        <f>150000/1000</f>
        <v>150</v>
      </c>
      <c r="G20" s="22"/>
      <c r="H20" s="22"/>
      <c r="I20" s="22"/>
      <c r="J20" s="22"/>
      <c r="K20" s="22"/>
    </row>
    <row r="21" spans="1:11" s="72" customFormat="1" ht="45.75" customHeight="1" x14ac:dyDescent="0.4">
      <c r="A21" s="22">
        <v>13</v>
      </c>
      <c r="B21" s="25" t="s">
        <v>286</v>
      </c>
      <c r="C21" s="22">
        <v>2</v>
      </c>
      <c r="D21" s="22" t="s">
        <v>47</v>
      </c>
      <c r="E21" s="29">
        <f>360/1000</f>
        <v>0.36</v>
      </c>
      <c r="F21" s="22">
        <f>150000/1000</f>
        <v>150</v>
      </c>
      <c r="G21" s="22"/>
      <c r="H21" s="22"/>
      <c r="I21" s="22"/>
      <c r="J21" s="22"/>
      <c r="K21" s="22"/>
    </row>
    <row r="22" spans="1:11" s="72" customFormat="1" ht="45.75" customHeight="1" x14ac:dyDescent="0.4">
      <c r="A22" s="22">
        <v>14</v>
      </c>
      <c r="B22" s="25" t="s">
        <v>287</v>
      </c>
      <c r="C22" s="22">
        <v>2</v>
      </c>
      <c r="D22" s="22" t="s">
        <v>47</v>
      </c>
      <c r="E22" s="29">
        <f>238/1000</f>
        <v>0.23799999999999999</v>
      </c>
      <c r="F22" s="22">
        <f>100000/1000</f>
        <v>100</v>
      </c>
      <c r="G22" s="22"/>
      <c r="H22" s="22"/>
      <c r="I22" s="22"/>
      <c r="J22" s="22"/>
      <c r="K22" s="22"/>
    </row>
    <row r="23" spans="1:11" s="72" customFormat="1" ht="45.75" customHeight="1" x14ac:dyDescent="0.4">
      <c r="A23" s="22">
        <v>15</v>
      </c>
      <c r="B23" s="25" t="s">
        <v>288</v>
      </c>
      <c r="C23" s="22">
        <v>2</v>
      </c>
      <c r="D23" s="22" t="s">
        <v>47</v>
      </c>
      <c r="E23" s="29">
        <f t="shared" ref="E23:E24" si="2">238/1000</f>
        <v>0.23799999999999999</v>
      </c>
      <c r="F23" s="22">
        <f>100000/1000</f>
        <v>100</v>
      </c>
      <c r="G23" s="22"/>
      <c r="H23" s="22"/>
      <c r="I23" s="22"/>
      <c r="J23" s="22"/>
      <c r="K23" s="22"/>
    </row>
    <row r="24" spans="1:11" s="72" customFormat="1" ht="45.75" customHeight="1" x14ac:dyDescent="0.4">
      <c r="A24" s="22">
        <v>16</v>
      </c>
      <c r="B24" s="25" t="s">
        <v>289</v>
      </c>
      <c r="C24" s="22">
        <v>2</v>
      </c>
      <c r="D24" s="22" t="s">
        <v>47</v>
      </c>
      <c r="E24" s="29">
        <f t="shared" si="2"/>
        <v>0.23799999999999999</v>
      </c>
      <c r="F24" s="22">
        <f>100000/1000</f>
        <v>100</v>
      </c>
      <c r="G24" s="22"/>
      <c r="H24" s="22"/>
      <c r="I24" s="22"/>
      <c r="J24" s="22"/>
      <c r="K24" s="22"/>
    </row>
    <row r="25" spans="1:11" s="72" customFormat="1" ht="74.25" customHeight="1" x14ac:dyDescent="0.4">
      <c r="A25" s="22">
        <v>17</v>
      </c>
      <c r="B25" s="63" t="s">
        <v>290</v>
      </c>
      <c r="C25" s="21">
        <v>3</v>
      </c>
      <c r="D25" s="60" t="s">
        <v>46</v>
      </c>
      <c r="E25" s="33">
        <f>720/1000</f>
        <v>0.72</v>
      </c>
      <c r="F25" s="21">
        <f>300000/1000</f>
        <v>300</v>
      </c>
      <c r="G25" s="22"/>
      <c r="H25" s="22"/>
      <c r="I25" s="22"/>
      <c r="J25" s="22"/>
      <c r="K25" s="22"/>
    </row>
    <row r="26" spans="1:11" s="72" customFormat="1" ht="66.75" customHeight="1" x14ac:dyDescent="0.4">
      <c r="A26" s="22">
        <v>18</v>
      </c>
      <c r="B26" s="63" t="s">
        <v>291</v>
      </c>
      <c r="C26" s="21">
        <v>3</v>
      </c>
      <c r="D26" s="60" t="s">
        <v>46</v>
      </c>
      <c r="E26" s="33">
        <f>E24</f>
        <v>0.23799999999999999</v>
      </c>
      <c r="F26" s="21">
        <f>100000/1000</f>
        <v>100</v>
      </c>
      <c r="G26" s="22"/>
      <c r="H26" s="22"/>
      <c r="I26" s="22"/>
      <c r="J26" s="22"/>
      <c r="K26" s="22"/>
    </row>
    <row r="27" spans="1:11" s="72" customFormat="1" ht="69" customHeight="1" x14ac:dyDescent="0.4">
      <c r="A27" s="22">
        <v>19</v>
      </c>
      <c r="B27" s="63" t="s">
        <v>292</v>
      </c>
      <c r="C27" s="21">
        <v>3</v>
      </c>
      <c r="D27" s="60" t="s">
        <v>46</v>
      </c>
      <c r="E27" s="33">
        <f>E21</f>
        <v>0.36</v>
      </c>
      <c r="F27" s="21">
        <f>150000/1000</f>
        <v>150</v>
      </c>
      <c r="G27" s="22"/>
      <c r="H27" s="22"/>
      <c r="I27" s="22"/>
      <c r="J27" s="22"/>
      <c r="K27" s="22"/>
    </row>
    <row r="28" spans="1:11" s="72" customFormat="1" ht="45.75" customHeight="1" x14ac:dyDescent="0.4">
      <c r="A28" s="22">
        <v>20</v>
      </c>
      <c r="B28" s="45" t="s">
        <v>306</v>
      </c>
      <c r="C28" s="22">
        <v>6</v>
      </c>
      <c r="D28" s="22" t="s">
        <v>47</v>
      </c>
      <c r="E28" s="29">
        <f>E25</f>
        <v>0.72</v>
      </c>
      <c r="F28" s="22">
        <f>300000/1000</f>
        <v>300</v>
      </c>
      <c r="G28" s="22"/>
      <c r="H28" s="22"/>
      <c r="I28" s="22"/>
      <c r="J28" s="22"/>
      <c r="K28" s="22"/>
    </row>
    <row r="29" spans="1:11" s="72" customFormat="1" ht="48.75" customHeight="1" x14ac:dyDescent="0.4">
      <c r="A29" s="22">
        <v>21</v>
      </c>
      <c r="B29" s="63" t="s">
        <v>357</v>
      </c>
      <c r="C29" s="22">
        <v>9</v>
      </c>
      <c r="D29" s="22" t="s">
        <v>38</v>
      </c>
      <c r="E29" s="22">
        <f>480/1000</f>
        <v>0.48</v>
      </c>
      <c r="F29" s="22">
        <f>200000/1000</f>
        <v>200</v>
      </c>
      <c r="G29" s="22"/>
      <c r="H29" s="22"/>
      <c r="I29" s="22"/>
      <c r="J29" s="22"/>
      <c r="K29" s="22"/>
    </row>
    <row r="30" spans="1:11" s="72" customFormat="1" ht="45.75" customHeight="1" x14ac:dyDescent="0.4">
      <c r="A30" s="22">
        <v>22</v>
      </c>
      <c r="B30" s="25" t="s">
        <v>322</v>
      </c>
      <c r="C30" s="22">
        <v>10</v>
      </c>
      <c r="D30" s="22" t="s">
        <v>38</v>
      </c>
      <c r="E30" s="29">
        <f>240/1000</f>
        <v>0.24</v>
      </c>
      <c r="F30" s="22">
        <f>100000/1000</f>
        <v>100</v>
      </c>
      <c r="G30" s="22"/>
      <c r="H30" s="22"/>
      <c r="I30" s="22"/>
      <c r="J30" s="22"/>
      <c r="K30" s="22"/>
    </row>
    <row r="31" spans="1:11" s="72" customFormat="1" ht="45.75" customHeight="1" x14ac:dyDescent="0.4">
      <c r="A31" s="22">
        <v>23</v>
      </c>
      <c r="B31" s="25" t="s">
        <v>358</v>
      </c>
      <c r="C31" s="22">
        <v>11</v>
      </c>
      <c r="D31" s="22" t="s">
        <v>47</v>
      </c>
      <c r="E31" s="29">
        <f>E27</f>
        <v>0.36</v>
      </c>
      <c r="F31" s="22">
        <f>150000/1000</f>
        <v>150</v>
      </c>
      <c r="G31" s="22"/>
      <c r="H31" s="22"/>
      <c r="I31" s="22"/>
      <c r="J31" s="22"/>
      <c r="K31" s="22"/>
    </row>
    <row r="32" spans="1:11" s="72" customFormat="1" ht="72.75" customHeight="1" x14ac:dyDescent="0.4">
      <c r="A32" s="22">
        <v>24</v>
      </c>
      <c r="B32" s="63" t="s">
        <v>359</v>
      </c>
      <c r="C32" s="22">
        <v>11</v>
      </c>
      <c r="D32" s="22" t="s">
        <v>47</v>
      </c>
      <c r="E32" s="29">
        <v>0.24</v>
      </c>
      <c r="F32" s="22">
        <f>100000/1000</f>
        <v>100</v>
      </c>
      <c r="G32" s="22"/>
      <c r="H32" s="22"/>
      <c r="I32" s="22"/>
      <c r="J32" s="22"/>
      <c r="K32" s="22"/>
    </row>
    <row r="33" spans="1:11" s="72" customFormat="1" ht="45.75" customHeight="1" x14ac:dyDescent="0.4">
      <c r="A33" s="22">
        <v>25</v>
      </c>
      <c r="B33" s="63" t="s">
        <v>360</v>
      </c>
      <c r="C33" s="22">
        <v>11</v>
      </c>
      <c r="D33" s="22" t="s">
        <v>47</v>
      </c>
      <c r="E33" s="29">
        <v>0.24</v>
      </c>
      <c r="F33" s="22">
        <f>100000/1000</f>
        <v>100</v>
      </c>
      <c r="G33" s="22"/>
      <c r="H33" s="22"/>
      <c r="I33" s="22"/>
      <c r="J33" s="22"/>
      <c r="K33" s="22"/>
    </row>
    <row r="34" spans="1:11" s="72" customFormat="1" ht="45.75" customHeight="1" x14ac:dyDescent="0.45">
      <c r="A34" s="22">
        <v>26</v>
      </c>
      <c r="B34" s="25" t="s">
        <v>361</v>
      </c>
      <c r="C34" s="46">
        <v>13</v>
      </c>
      <c r="D34" s="22" t="s">
        <v>38</v>
      </c>
      <c r="E34" s="29">
        <f>130/1000</f>
        <v>0.13</v>
      </c>
      <c r="F34" s="22">
        <f>50000/1000</f>
        <v>50</v>
      </c>
      <c r="G34" s="22"/>
      <c r="H34" s="22"/>
      <c r="I34" s="22"/>
      <c r="J34" s="22"/>
      <c r="K34" s="22"/>
    </row>
    <row r="35" spans="1:11" s="72" customFormat="1" ht="45.75" customHeight="1" x14ac:dyDescent="0.45">
      <c r="A35" s="22">
        <v>27</v>
      </c>
      <c r="B35" s="25" t="s">
        <v>362</v>
      </c>
      <c r="C35" s="46">
        <v>13</v>
      </c>
      <c r="D35" s="22" t="s">
        <v>38</v>
      </c>
      <c r="E35" s="29">
        <f t="shared" ref="E35:E41" si="3">130/1000</f>
        <v>0.13</v>
      </c>
      <c r="F35" s="22">
        <f t="shared" ref="F35:F41" si="4">50000/1000</f>
        <v>50</v>
      </c>
      <c r="G35" s="22"/>
      <c r="H35" s="22"/>
      <c r="I35" s="22"/>
      <c r="J35" s="22"/>
      <c r="K35" s="22"/>
    </row>
    <row r="36" spans="1:11" s="72" customFormat="1" ht="45.75" customHeight="1" x14ac:dyDescent="0.45">
      <c r="A36" s="22">
        <v>28</v>
      </c>
      <c r="B36" s="25" t="s">
        <v>363</v>
      </c>
      <c r="C36" s="46">
        <v>13</v>
      </c>
      <c r="D36" s="22" t="s">
        <v>38</v>
      </c>
      <c r="E36" s="29">
        <f t="shared" si="3"/>
        <v>0.13</v>
      </c>
      <c r="F36" s="22">
        <f t="shared" si="4"/>
        <v>50</v>
      </c>
      <c r="G36" s="22"/>
      <c r="H36" s="22"/>
      <c r="I36" s="22"/>
      <c r="J36" s="22"/>
      <c r="K36" s="22"/>
    </row>
    <row r="37" spans="1:11" s="72" customFormat="1" ht="45.75" customHeight="1" x14ac:dyDescent="0.45">
      <c r="A37" s="22">
        <v>29</v>
      </c>
      <c r="B37" s="25" t="s">
        <v>364</v>
      </c>
      <c r="C37" s="46">
        <v>13</v>
      </c>
      <c r="D37" s="22" t="s">
        <v>38</v>
      </c>
      <c r="E37" s="29">
        <f t="shared" si="3"/>
        <v>0.13</v>
      </c>
      <c r="F37" s="22">
        <f t="shared" si="4"/>
        <v>50</v>
      </c>
      <c r="G37" s="22"/>
      <c r="H37" s="22"/>
      <c r="I37" s="22"/>
      <c r="J37" s="22"/>
      <c r="K37" s="22"/>
    </row>
    <row r="38" spans="1:11" s="72" customFormat="1" ht="45.75" customHeight="1" x14ac:dyDescent="0.45">
      <c r="A38" s="22">
        <v>30</v>
      </c>
      <c r="B38" s="25" t="s">
        <v>327</v>
      </c>
      <c r="C38" s="46">
        <v>13</v>
      </c>
      <c r="D38" s="22" t="s">
        <v>38</v>
      </c>
      <c r="E38" s="29">
        <f t="shared" si="3"/>
        <v>0.13</v>
      </c>
      <c r="F38" s="22">
        <f t="shared" si="4"/>
        <v>50</v>
      </c>
      <c r="G38" s="22"/>
      <c r="H38" s="22"/>
      <c r="I38" s="22"/>
      <c r="J38" s="22"/>
      <c r="K38" s="22"/>
    </row>
    <row r="39" spans="1:11" s="72" customFormat="1" ht="45.75" customHeight="1" x14ac:dyDescent="0.45">
      <c r="A39" s="22">
        <v>31</v>
      </c>
      <c r="B39" s="25" t="s">
        <v>365</v>
      </c>
      <c r="C39" s="46">
        <v>13</v>
      </c>
      <c r="D39" s="22" t="s">
        <v>38</v>
      </c>
      <c r="E39" s="29">
        <f t="shared" si="3"/>
        <v>0.13</v>
      </c>
      <c r="F39" s="22">
        <f t="shared" si="4"/>
        <v>50</v>
      </c>
      <c r="G39" s="22"/>
      <c r="H39" s="22"/>
      <c r="I39" s="22"/>
      <c r="J39" s="22"/>
      <c r="K39" s="22"/>
    </row>
    <row r="40" spans="1:11" s="72" customFormat="1" ht="72.75" customHeight="1" x14ac:dyDescent="0.45">
      <c r="A40" s="22">
        <v>32</v>
      </c>
      <c r="B40" s="25" t="s">
        <v>366</v>
      </c>
      <c r="C40" s="46">
        <v>13</v>
      </c>
      <c r="D40" s="22" t="s">
        <v>38</v>
      </c>
      <c r="E40" s="29">
        <f>130/1000</f>
        <v>0.13</v>
      </c>
      <c r="F40" s="22">
        <f t="shared" si="4"/>
        <v>50</v>
      </c>
      <c r="G40" s="22"/>
      <c r="H40" s="22"/>
      <c r="I40" s="22"/>
      <c r="J40" s="22"/>
      <c r="K40" s="22"/>
    </row>
    <row r="41" spans="1:11" s="72" customFormat="1" ht="45.75" customHeight="1" x14ac:dyDescent="0.45">
      <c r="A41" s="22">
        <v>33</v>
      </c>
      <c r="B41" s="25" t="s">
        <v>328</v>
      </c>
      <c r="C41" s="46">
        <v>13</v>
      </c>
      <c r="D41" s="22" t="s">
        <v>38</v>
      </c>
      <c r="E41" s="29">
        <f t="shared" si="3"/>
        <v>0.13</v>
      </c>
      <c r="F41" s="22">
        <f t="shared" si="4"/>
        <v>50</v>
      </c>
      <c r="G41" s="22"/>
      <c r="H41" s="22"/>
      <c r="I41" s="22"/>
      <c r="J41" s="22"/>
      <c r="K41" s="22"/>
    </row>
    <row r="42" spans="1:11" s="72" customFormat="1" ht="45.75" customHeight="1" x14ac:dyDescent="0.4">
      <c r="A42" s="22">
        <v>34</v>
      </c>
      <c r="B42" s="45" t="s">
        <v>329</v>
      </c>
      <c r="C42" s="22">
        <v>14</v>
      </c>
      <c r="D42" s="22" t="s">
        <v>47</v>
      </c>
      <c r="E42" s="29">
        <f>240/1000</f>
        <v>0.24</v>
      </c>
      <c r="F42" s="22">
        <f>100000/1000</f>
        <v>100</v>
      </c>
      <c r="G42" s="22"/>
      <c r="H42" s="22"/>
      <c r="I42" s="22"/>
      <c r="J42" s="22"/>
      <c r="K42" s="22"/>
    </row>
    <row r="43" spans="1:11" s="72" customFormat="1" ht="67.5" customHeight="1" x14ac:dyDescent="0.4">
      <c r="A43" s="22">
        <v>35</v>
      </c>
      <c r="B43" s="45" t="s">
        <v>330</v>
      </c>
      <c r="C43" s="22">
        <v>14</v>
      </c>
      <c r="D43" s="22" t="s">
        <v>47</v>
      </c>
      <c r="E43" s="29">
        <f>240/1000</f>
        <v>0.24</v>
      </c>
      <c r="F43" s="22">
        <f t="shared" ref="F43" si="5">100000/1000</f>
        <v>100</v>
      </c>
      <c r="G43" s="22"/>
      <c r="H43" s="22"/>
      <c r="I43" s="22"/>
      <c r="J43" s="22"/>
      <c r="K43" s="22"/>
    </row>
    <row r="44" spans="1:11" s="72" customFormat="1" ht="45.75" customHeight="1" x14ac:dyDescent="0.4">
      <c r="A44" s="22">
        <v>36</v>
      </c>
      <c r="B44" s="25" t="s">
        <v>367</v>
      </c>
      <c r="C44" s="22">
        <v>15</v>
      </c>
      <c r="D44" s="22" t="s">
        <v>47</v>
      </c>
      <c r="E44" s="29">
        <f>360/1000</f>
        <v>0.36</v>
      </c>
      <c r="F44" s="22">
        <f>150000/1000</f>
        <v>150</v>
      </c>
      <c r="G44" s="22"/>
      <c r="H44" s="22"/>
      <c r="I44" s="22"/>
      <c r="J44" s="22"/>
      <c r="K44" s="22"/>
    </row>
    <row r="45" spans="1:11" s="72" customFormat="1" ht="63.75" customHeight="1" x14ac:dyDescent="0.4">
      <c r="A45" s="22">
        <v>37</v>
      </c>
      <c r="B45" s="25" t="s">
        <v>368</v>
      </c>
      <c r="C45" s="22">
        <v>15</v>
      </c>
      <c r="D45" s="22" t="s">
        <v>47</v>
      </c>
      <c r="E45" s="29">
        <f>480/1000</f>
        <v>0.48</v>
      </c>
      <c r="F45" s="22">
        <f>200000/1000</f>
        <v>200</v>
      </c>
      <c r="G45" s="22"/>
      <c r="H45" s="22"/>
      <c r="I45" s="22"/>
      <c r="J45" s="22"/>
      <c r="K45" s="22"/>
    </row>
    <row r="46" spans="1:11" s="72" customFormat="1" ht="45.75" customHeight="1" x14ac:dyDescent="0.4">
      <c r="A46" s="22">
        <v>38</v>
      </c>
      <c r="B46" s="25" t="s">
        <v>369</v>
      </c>
      <c r="C46" s="22">
        <v>15</v>
      </c>
      <c r="D46" s="22" t="s">
        <v>47</v>
      </c>
      <c r="E46" s="29">
        <f>E42</f>
        <v>0.24</v>
      </c>
      <c r="F46" s="22">
        <f>100000/1000</f>
        <v>100</v>
      </c>
      <c r="G46" s="22"/>
      <c r="H46" s="22"/>
      <c r="I46" s="22"/>
      <c r="J46" s="22"/>
      <c r="K46" s="22"/>
    </row>
    <row r="47" spans="1:11" s="72" customFormat="1" ht="45.75" customHeight="1" x14ac:dyDescent="0.4">
      <c r="A47" s="22">
        <v>39</v>
      </c>
      <c r="B47" s="63" t="s">
        <v>332</v>
      </c>
      <c r="C47" s="22">
        <v>15</v>
      </c>
      <c r="D47" s="22" t="s">
        <v>47</v>
      </c>
      <c r="E47" s="29">
        <f t="shared" ref="E47" si="6">E43</f>
        <v>0.24</v>
      </c>
      <c r="F47" s="22">
        <f>100000/1000</f>
        <v>100</v>
      </c>
      <c r="G47" s="22"/>
      <c r="H47" s="22"/>
      <c r="I47" s="22"/>
      <c r="J47" s="22"/>
      <c r="K47" s="22"/>
    </row>
    <row r="48" spans="1:11" s="72" customFormat="1" ht="45.75" customHeight="1" x14ac:dyDescent="0.4">
      <c r="A48" s="22">
        <v>40</v>
      </c>
      <c r="B48" s="25" t="s">
        <v>370</v>
      </c>
      <c r="C48" s="22">
        <v>17</v>
      </c>
      <c r="D48" s="22" t="s">
        <v>47</v>
      </c>
      <c r="E48" s="29">
        <v>0.24</v>
      </c>
      <c r="F48" s="22">
        <v>100</v>
      </c>
      <c r="G48" s="22"/>
      <c r="H48" s="22"/>
      <c r="I48" s="22"/>
      <c r="J48" s="22"/>
      <c r="K48" s="22"/>
    </row>
    <row r="49" spans="1:11" s="72" customFormat="1" ht="57.75" customHeight="1" x14ac:dyDescent="0.45">
      <c r="A49" s="22">
        <v>41</v>
      </c>
      <c r="B49" s="47" t="s">
        <v>334</v>
      </c>
      <c r="C49" s="22">
        <v>17</v>
      </c>
      <c r="D49" s="22" t="s">
        <v>47</v>
      </c>
      <c r="E49" s="29">
        <f>E45</f>
        <v>0.48</v>
      </c>
      <c r="F49" s="22">
        <v>200</v>
      </c>
      <c r="G49" s="22"/>
      <c r="H49" s="22"/>
      <c r="I49" s="22"/>
      <c r="J49" s="22"/>
      <c r="K49" s="22"/>
    </row>
    <row r="50" spans="1:11" s="72" customFormat="1" ht="54" customHeight="1" x14ac:dyDescent="0.45">
      <c r="A50" s="22">
        <v>42</v>
      </c>
      <c r="B50" s="47" t="s">
        <v>335</v>
      </c>
      <c r="C50" s="22">
        <v>17</v>
      </c>
      <c r="D50" s="22" t="s">
        <v>47</v>
      </c>
      <c r="E50" s="26">
        <v>0.3</v>
      </c>
      <c r="F50" s="22">
        <f>100000/1000</f>
        <v>100</v>
      </c>
      <c r="G50" s="22"/>
      <c r="H50" s="22"/>
      <c r="I50" s="22"/>
      <c r="J50" s="22"/>
      <c r="K50" s="22"/>
    </row>
    <row r="51" spans="1:11" s="72" customFormat="1" ht="58.5" customHeight="1" x14ac:dyDescent="0.4">
      <c r="A51" s="22">
        <v>43</v>
      </c>
      <c r="B51" s="63" t="s">
        <v>371</v>
      </c>
      <c r="C51" s="22">
        <v>17</v>
      </c>
      <c r="D51" s="22" t="s">
        <v>47</v>
      </c>
      <c r="E51" s="29">
        <f>240/1000</f>
        <v>0.24</v>
      </c>
      <c r="F51" s="22">
        <f>100000/1000</f>
        <v>100</v>
      </c>
      <c r="G51" s="22"/>
      <c r="H51" s="22"/>
      <c r="I51" s="22"/>
      <c r="J51" s="22"/>
      <c r="K51" s="22"/>
    </row>
    <row r="52" spans="1:11" s="72" customFormat="1" ht="58.5" customHeight="1" x14ac:dyDescent="0.4">
      <c r="A52" s="22">
        <v>44</v>
      </c>
      <c r="B52" s="63" t="s">
        <v>421</v>
      </c>
      <c r="C52" s="22">
        <v>19</v>
      </c>
      <c r="D52" s="22" t="s">
        <v>47</v>
      </c>
      <c r="E52" s="29">
        <f>240/1000</f>
        <v>0.24</v>
      </c>
      <c r="F52" s="22">
        <f>100000/1000</f>
        <v>100</v>
      </c>
      <c r="G52" s="22"/>
      <c r="H52" s="22"/>
      <c r="I52" s="22"/>
      <c r="J52" s="22"/>
      <c r="K52" s="22"/>
    </row>
    <row r="53" spans="1:11" s="69" customFormat="1" ht="21.75" customHeight="1" x14ac:dyDescent="0.4">
      <c r="A53" s="196" t="s">
        <v>17</v>
      </c>
      <c r="B53" s="196"/>
      <c r="C53" s="196"/>
      <c r="D53" s="196"/>
      <c r="E53" s="196"/>
      <c r="F53" s="62"/>
      <c r="G53" s="62"/>
      <c r="H53" s="62"/>
      <c r="I53" s="62"/>
      <c r="J53" s="62"/>
      <c r="K53" s="62"/>
    </row>
    <row r="54" spans="1:11" s="69" customFormat="1" ht="22.5" customHeight="1" x14ac:dyDescent="0.4">
      <c r="A54" s="194" t="s">
        <v>24</v>
      </c>
      <c r="B54" s="195"/>
      <c r="C54" s="195"/>
      <c r="D54" s="195"/>
      <c r="E54" s="195"/>
      <c r="F54" s="86"/>
      <c r="G54" s="86"/>
      <c r="H54" s="86"/>
      <c r="I54" s="86"/>
      <c r="J54" s="86"/>
      <c r="K54" s="87"/>
    </row>
    <row r="55" spans="1:11" s="69" customFormat="1" ht="59.25" customHeight="1" x14ac:dyDescent="0.4">
      <c r="A55" s="21">
        <v>1</v>
      </c>
      <c r="B55" s="25" t="s">
        <v>470</v>
      </c>
      <c r="C55" s="22">
        <v>4</v>
      </c>
      <c r="D55" s="22" t="s">
        <v>32</v>
      </c>
      <c r="E55" s="22">
        <v>1</v>
      </c>
      <c r="F55" s="21">
        <v>150</v>
      </c>
      <c r="G55" s="22"/>
      <c r="H55" s="22"/>
      <c r="I55" s="22"/>
      <c r="J55" s="22"/>
      <c r="K55" s="22"/>
    </row>
    <row r="56" spans="1:11" s="69" customFormat="1" ht="59.25" customHeight="1" x14ac:dyDescent="0.4">
      <c r="A56" s="21">
        <v>2</v>
      </c>
      <c r="B56" s="63" t="s">
        <v>337</v>
      </c>
      <c r="C56" s="22">
        <v>18</v>
      </c>
      <c r="D56" s="22" t="s">
        <v>32</v>
      </c>
      <c r="E56" s="22">
        <v>1</v>
      </c>
      <c r="F56" s="21">
        <f>50536/1000</f>
        <v>50.536000000000001</v>
      </c>
      <c r="G56" s="22"/>
      <c r="H56" s="22"/>
      <c r="I56" s="22"/>
      <c r="J56" s="22"/>
      <c r="K56" s="22"/>
    </row>
    <row r="57" spans="1:11" s="69" customFormat="1" ht="59.25" customHeight="1" x14ac:dyDescent="0.4">
      <c r="A57" s="21">
        <v>3</v>
      </c>
      <c r="B57" s="48" t="s">
        <v>338</v>
      </c>
      <c r="C57" s="49">
        <v>18</v>
      </c>
      <c r="D57" s="49" t="s">
        <v>47</v>
      </c>
      <c r="E57" s="22">
        <v>1</v>
      </c>
      <c r="F57" s="21">
        <f>140653/1000</f>
        <v>140.65299999999999</v>
      </c>
      <c r="G57" s="22"/>
      <c r="H57" s="22"/>
      <c r="I57" s="22"/>
      <c r="J57" s="22"/>
      <c r="K57" s="22"/>
    </row>
    <row r="58" spans="1:11" s="69" customFormat="1" ht="59.25" customHeight="1" x14ac:dyDescent="0.4">
      <c r="A58" s="21">
        <v>4</v>
      </c>
      <c r="B58" s="63" t="s">
        <v>339</v>
      </c>
      <c r="C58" s="22">
        <v>19</v>
      </c>
      <c r="D58" s="22" t="s">
        <v>47</v>
      </c>
      <c r="E58" s="29">
        <f>330/1000</f>
        <v>0.33</v>
      </c>
      <c r="F58" s="21">
        <f>140653/1000</f>
        <v>140.65299999999999</v>
      </c>
      <c r="G58" s="22"/>
      <c r="H58" s="22"/>
      <c r="I58" s="22"/>
      <c r="J58" s="22"/>
      <c r="K58" s="22"/>
    </row>
    <row r="59" spans="1:11" s="69" customFormat="1" ht="59.25" customHeight="1" x14ac:dyDescent="0.4">
      <c r="A59" s="21">
        <v>5</v>
      </c>
      <c r="B59" s="63" t="s">
        <v>340</v>
      </c>
      <c r="C59" s="22">
        <v>19</v>
      </c>
      <c r="D59" s="22" t="s">
        <v>32</v>
      </c>
      <c r="E59" s="22">
        <v>1</v>
      </c>
      <c r="F59" s="21">
        <f>50000/1000</f>
        <v>50</v>
      </c>
      <c r="G59" s="22"/>
      <c r="H59" s="22"/>
      <c r="I59" s="22"/>
      <c r="J59" s="22"/>
      <c r="K59" s="22"/>
    </row>
    <row r="60" spans="1:11" s="69" customFormat="1" ht="23.25" customHeight="1" x14ac:dyDescent="0.4">
      <c r="A60" s="175" t="s">
        <v>14</v>
      </c>
      <c r="B60" s="175"/>
      <c r="C60" s="175"/>
      <c r="D60" s="175"/>
      <c r="E60" s="175"/>
      <c r="F60" s="59"/>
      <c r="G60" s="62"/>
      <c r="H60" s="62"/>
      <c r="I60" s="62"/>
      <c r="J60" s="62"/>
      <c r="K60" s="62"/>
    </row>
    <row r="61" spans="1:11" s="69" customFormat="1" ht="24.75" customHeight="1" x14ac:dyDescent="0.4">
      <c r="A61" s="194" t="s">
        <v>25</v>
      </c>
      <c r="B61" s="195"/>
      <c r="C61" s="195"/>
      <c r="D61" s="195"/>
      <c r="E61" s="195"/>
      <c r="F61" s="86"/>
      <c r="G61" s="86"/>
      <c r="H61" s="86"/>
      <c r="I61" s="86"/>
      <c r="J61" s="86"/>
      <c r="K61" s="87"/>
    </row>
    <row r="62" spans="1:11" s="69" customFormat="1" ht="24.75" x14ac:dyDescent="0.4">
      <c r="A62" s="21"/>
      <c r="B62" s="73"/>
      <c r="C62" s="73"/>
      <c r="D62" s="73"/>
      <c r="E62" s="73"/>
      <c r="F62" s="73"/>
      <c r="G62" s="73"/>
      <c r="H62" s="73"/>
      <c r="I62" s="73"/>
      <c r="J62" s="73"/>
      <c r="K62" s="22"/>
    </row>
    <row r="63" spans="1:11" s="69" customFormat="1" ht="24.75" customHeight="1" x14ac:dyDescent="0.4">
      <c r="A63" s="175" t="s">
        <v>14</v>
      </c>
      <c r="B63" s="175"/>
      <c r="C63" s="175"/>
      <c r="D63" s="175"/>
      <c r="E63" s="175"/>
      <c r="F63" s="59"/>
      <c r="G63" s="62"/>
      <c r="H63" s="62"/>
      <c r="I63" s="62"/>
      <c r="J63" s="62"/>
      <c r="K63" s="62"/>
    </row>
    <row r="64" spans="1:11" s="69" customFormat="1" ht="22.5" customHeight="1" x14ac:dyDescent="0.4">
      <c r="A64" s="194" t="s">
        <v>26</v>
      </c>
      <c r="B64" s="195"/>
      <c r="C64" s="195"/>
      <c r="D64" s="195"/>
      <c r="E64" s="195"/>
      <c r="F64" s="86"/>
      <c r="G64" s="86"/>
      <c r="H64" s="86"/>
      <c r="I64" s="86"/>
      <c r="J64" s="86"/>
      <c r="K64" s="87"/>
    </row>
    <row r="65" spans="1:11" s="69" customFormat="1" ht="41.25" customHeight="1" x14ac:dyDescent="0.4">
      <c r="A65" s="21">
        <v>1</v>
      </c>
      <c r="B65" s="63" t="s">
        <v>295</v>
      </c>
      <c r="C65" s="22">
        <v>4</v>
      </c>
      <c r="D65" s="22" t="s">
        <v>47</v>
      </c>
      <c r="E65" s="29">
        <f>76/1000</f>
        <v>7.5999999999999998E-2</v>
      </c>
      <c r="F65" s="21">
        <f>300000/1000</f>
        <v>300</v>
      </c>
      <c r="G65" s="22"/>
      <c r="H65" s="22"/>
      <c r="I65" s="22"/>
      <c r="J65" s="22"/>
      <c r="K65" s="22"/>
    </row>
    <row r="66" spans="1:11" s="69" customFormat="1" ht="57.75" customHeight="1" x14ac:dyDescent="0.4">
      <c r="A66" s="21">
        <v>2</v>
      </c>
      <c r="B66" s="63" t="s">
        <v>296</v>
      </c>
      <c r="C66" s="22">
        <v>4</v>
      </c>
      <c r="D66" s="22" t="s">
        <v>47</v>
      </c>
      <c r="E66" s="29">
        <f>76/1000</f>
        <v>7.5999999999999998E-2</v>
      </c>
      <c r="F66" s="21">
        <f>250000/1000</f>
        <v>250</v>
      </c>
      <c r="G66" s="22"/>
      <c r="H66" s="22"/>
      <c r="I66" s="22"/>
      <c r="J66" s="22"/>
      <c r="K66" s="22"/>
    </row>
    <row r="67" spans="1:11" s="69" customFormat="1" ht="57.75" customHeight="1" x14ac:dyDescent="0.4">
      <c r="A67" s="21">
        <v>3</v>
      </c>
      <c r="B67" s="63" t="s">
        <v>422</v>
      </c>
      <c r="C67" s="22">
        <v>5</v>
      </c>
      <c r="D67" s="22" t="s">
        <v>47</v>
      </c>
      <c r="E67" s="29">
        <f>38/1000</f>
        <v>3.7999999999999999E-2</v>
      </c>
      <c r="F67" s="22">
        <f>150000/1000</f>
        <v>150</v>
      </c>
      <c r="G67" s="22"/>
      <c r="H67" s="22"/>
      <c r="I67" s="22"/>
      <c r="J67" s="22"/>
      <c r="K67" s="22"/>
    </row>
    <row r="68" spans="1:11" s="69" customFormat="1" ht="46.5" customHeight="1" x14ac:dyDescent="0.45">
      <c r="A68" s="21">
        <v>4</v>
      </c>
      <c r="B68" s="64" t="s">
        <v>307</v>
      </c>
      <c r="C68" s="22">
        <v>7</v>
      </c>
      <c r="D68" s="22" t="s">
        <v>32</v>
      </c>
      <c r="E68" s="22">
        <v>1</v>
      </c>
      <c r="F68" s="21">
        <f>50000/1000</f>
        <v>50</v>
      </c>
      <c r="G68" s="22">
        <v>127</v>
      </c>
      <c r="H68" s="22">
        <v>126</v>
      </c>
      <c r="I68" s="22">
        <v>27</v>
      </c>
      <c r="J68" s="22">
        <v>161</v>
      </c>
      <c r="K68" s="22"/>
    </row>
    <row r="69" spans="1:11" s="69" customFormat="1" ht="47.25" customHeight="1" x14ac:dyDescent="0.4">
      <c r="A69" s="21">
        <v>5</v>
      </c>
      <c r="B69" s="65" t="s">
        <v>308</v>
      </c>
      <c r="C69" s="22">
        <v>7</v>
      </c>
      <c r="D69" s="22" t="s">
        <v>32</v>
      </c>
      <c r="E69" s="22">
        <v>1</v>
      </c>
      <c r="F69" s="21">
        <f>50000/1000</f>
        <v>50</v>
      </c>
      <c r="G69" s="22">
        <v>254</v>
      </c>
      <c r="H69" s="22">
        <v>327</v>
      </c>
      <c r="I69" s="22">
        <v>152</v>
      </c>
      <c r="J69" s="22">
        <v>161</v>
      </c>
      <c r="K69" s="22"/>
    </row>
    <row r="70" spans="1:11" s="69" customFormat="1" ht="48.75" customHeight="1" x14ac:dyDescent="0.4">
      <c r="A70" s="21">
        <v>6</v>
      </c>
      <c r="B70" s="63" t="s">
        <v>309</v>
      </c>
      <c r="C70" s="22">
        <v>7</v>
      </c>
      <c r="D70" s="22" t="s">
        <v>32</v>
      </c>
      <c r="E70" s="22">
        <v>1</v>
      </c>
      <c r="F70" s="21">
        <f>50000/1000</f>
        <v>50</v>
      </c>
      <c r="G70" s="22">
        <v>15</v>
      </c>
      <c r="H70" s="22">
        <v>137</v>
      </c>
      <c r="I70" s="22">
        <v>45</v>
      </c>
      <c r="J70" s="22">
        <v>271</v>
      </c>
      <c r="K70" s="22"/>
    </row>
    <row r="71" spans="1:11" s="69" customFormat="1" ht="50.25" customHeight="1" x14ac:dyDescent="0.4">
      <c r="A71" s="21">
        <v>7</v>
      </c>
      <c r="B71" s="63" t="s">
        <v>316</v>
      </c>
      <c r="C71" s="22">
        <v>8</v>
      </c>
      <c r="D71" s="22" t="s">
        <v>47</v>
      </c>
      <c r="E71" s="29">
        <f>40/1000</f>
        <v>0.04</v>
      </c>
      <c r="F71" s="21">
        <f>150000/1000</f>
        <v>150</v>
      </c>
      <c r="G71" s="22"/>
      <c r="H71" s="22"/>
      <c r="I71" s="22"/>
      <c r="J71" s="22"/>
      <c r="K71" s="22"/>
    </row>
    <row r="72" spans="1:11" s="69" customFormat="1" ht="47.25" customHeight="1" x14ac:dyDescent="0.4">
      <c r="A72" s="21">
        <v>8</v>
      </c>
      <c r="B72" s="63" t="s">
        <v>317</v>
      </c>
      <c r="C72" s="22">
        <v>8</v>
      </c>
      <c r="D72" s="22" t="s">
        <v>32</v>
      </c>
      <c r="E72" s="22">
        <v>1</v>
      </c>
      <c r="F72" s="21">
        <f>150000/1000</f>
        <v>150</v>
      </c>
      <c r="G72" s="22"/>
      <c r="H72" s="22"/>
      <c r="I72" s="22"/>
      <c r="J72" s="22"/>
      <c r="K72" s="22"/>
    </row>
    <row r="73" spans="1:11" s="69" customFormat="1" ht="48" customHeight="1" x14ac:dyDescent="0.4">
      <c r="A73" s="21">
        <v>9</v>
      </c>
      <c r="B73" s="48" t="s">
        <v>341</v>
      </c>
      <c r="C73" s="49">
        <v>18</v>
      </c>
      <c r="D73" s="49" t="s">
        <v>32</v>
      </c>
      <c r="E73" s="49">
        <v>1</v>
      </c>
      <c r="F73" s="21">
        <f>150000/1000</f>
        <v>150</v>
      </c>
      <c r="G73" s="49"/>
      <c r="H73" s="49"/>
      <c r="I73" s="49"/>
      <c r="J73" s="49"/>
      <c r="K73" s="49"/>
    </row>
    <row r="74" spans="1:11" s="69" customFormat="1" ht="23.25" customHeight="1" x14ac:dyDescent="0.4">
      <c r="A74" s="175" t="s">
        <v>14</v>
      </c>
      <c r="B74" s="175"/>
      <c r="C74" s="175"/>
      <c r="D74" s="175"/>
      <c r="E74" s="175"/>
      <c r="F74" s="59"/>
      <c r="G74" s="62"/>
      <c r="H74" s="62"/>
      <c r="I74" s="62"/>
      <c r="J74" s="62"/>
      <c r="K74" s="62"/>
    </row>
    <row r="75" spans="1:11" s="69" customFormat="1" ht="25.5" customHeight="1" x14ac:dyDescent="0.4">
      <c r="A75" s="194" t="s">
        <v>27</v>
      </c>
      <c r="B75" s="195"/>
      <c r="C75" s="195"/>
      <c r="D75" s="195"/>
      <c r="E75" s="195"/>
      <c r="F75" s="86"/>
      <c r="G75" s="86"/>
      <c r="H75" s="86"/>
      <c r="I75" s="86"/>
      <c r="J75" s="86"/>
      <c r="K75" s="87"/>
    </row>
    <row r="76" spans="1:11" s="69" customFormat="1" ht="30" customHeight="1" x14ac:dyDescent="0.4">
      <c r="A76" s="21"/>
      <c r="B76" s="63"/>
      <c r="C76" s="22"/>
      <c r="D76" s="22"/>
      <c r="E76" s="22"/>
      <c r="F76" s="21"/>
      <c r="G76" s="22"/>
      <c r="H76" s="22"/>
      <c r="I76" s="22"/>
      <c r="J76" s="22"/>
      <c r="K76" s="22"/>
    </row>
    <row r="77" spans="1:11" s="69" customFormat="1" ht="25.5" customHeight="1" x14ac:dyDescent="0.4">
      <c r="A77" s="175" t="s">
        <v>14</v>
      </c>
      <c r="B77" s="175"/>
      <c r="C77" s="175"/>
      <c r="D77" s="175"/>
      <c r="E77" s="175"/>
      <c r="F77" s="59"/>
      <c r="G77" s="62"/>
      <c r="H77" s="62"/>
      <c r="I77" s="62"/>
      <c r="J77" s="62"/>
      <c r="K77" s="62"/>
    </row>
    <row r="78" spans="1:11" s="69" customFormat="1" ht="26.25" customHeight="1" x14ac:dyDescent="0.4">
      <c r="A78" s="194" t="s">
        <v>28</v>
      </c>
      <c r="B78" s="195"/>
      <c r="C78" s="195"/>
      <c r="D78" s="195"/>
      <c r="E78" s="195"/>
      <c r="F78" s="86"/>
      <c r="G78" s="86"/>
      <c r="H78" s="86"/>
      <c r="I78" s="86"/>
      <c r="J78" s="86"/>
      <c r="K78" s="87"/>
    </row>
    <row r="79" spans="1:11" s="69" customFormat="1" ht="45" customHeight="1" x14ac:dyDescent="0.4">
      <c r="A79" s="21">
        <v>1</v>
      </c>
      <c r="B79" s="63" t="s">
        <v>318</v>
      </c>
      <c r="C79" s="22">
        <v>8</v>
      </c>
      <c r="D79" s="22" t="s">
        <v>32</v>
      </c>
      <c r="E79" s="22">
        <v>1</v>
      </c>
      <c r="F79" s="21">
        <f>50000/1000</f>
        <v>50</v>
      </c>
      <c r="G79" s="22"/>
      <c r="H79" s="22"/>
      <c r="I79" s="22"/>
      <c r="J79" s="22"/>
      <c r="K79" s="22"/>
    </row>
    <row r="80" spans="1:11" s="69" customFormat="1" ht="51.75" customHeight="1" x14ac:dyDescent="0.4">
      <c r="A80" s="21">
        <v>2</v>
      </c>
      <c r="B80" s="63" t="s">
        <v>331</v>
      </c>
      <c r="C80" s="22">
        <v>14</v>
      </c>
      <c r="D80" s="22" t="s">
        <v>32</v>
      </c>
      <c r="E80" s="22">
        <v>1</v>
      </c>
      <c r="F80" s="21">
        <f>500000/1000</f>
        <v>500</v>
      </c>
      <c r="G80" s="22"/>
      <c r="H80" s="22"/>
      <c r="I80" s="22"/>
      <c r="J80" s="22"/>
      <c r="K80" s="22"/>
    </row>
    <row r="81" spans="1:11" s="69" customFormat="1" ht="55.5" customHeight="1" x14ac:dyDescent="0.4">
      <c r="A81" s="21">
        <v>3</v>
      </c>
      <c r="B81" s="63" t="s">
        <v>342</v>
      </c>
      <c r="C81" s="22">
        <v>20</v>
      </c>
      <c r="D81" s="22" t="s">
        <v>32</v>
      </c>
      <c r="E81" s="22">
        <v>1</v>
      </c>
      <c r="F81" s="21">
        <f>50000/1000</f>
        <v>50</v>
      </c>
      <c r="G81" s="22"/>
      <c r="H81" s="22"/>
      <c r="I81" s="22"/>
      <c r="J81" s="22"/>
      <c r="K81" s="22"/>
    </row>
    <row r="82" spans="1:11" s="69" customFormat="1" ht="24" customHeight="1" x14ac:dyDescent="0.4">
      <c r="A82" s="175" t="s">
        <v>14</v>
      </c>
      <c r="B82" s="175"/>
      <c r="C82" s="175"/>
      <c r="D82" s="175"/>
      <c r="E82" s="175"/>
      <c r="F82" s="59"/>
      <c r="G82" s="62"/>
      <c r="H82" s="62"/>
      <c r="I82" s="62"/>
      <c r="J82" s="62"/>
      <c r="K82" s="62"/>
    </row>
    <row r="83" spans="1:11" s="69" customFormat="1" ht="24" customHeight="1" x14ac:dyDescent="0.4">
      <c r="A83" s="194" t="s">
        <v>29</v>
      </c>
      <c r="B83" s="195"/>
      <c r="C83" s="195"/>
      <c r="D83" s="195"/>
      <c r="E83" s="195"/>
      <c r="F83" s="86"/>
      <c r="G83" s="86"/>
      <c r="H83" s="86"/>
      <c r="I83" s="86"/>
      <c r="J83" s="86"/>
      <c r="K83" s="87"/>
    </row>
    <row r="84" spans="1:11" s="69" customFormat="1" ht="99" x14ac:dyDescent="0.4">
      <c r="A84" s="21">
        <v>1</v>
      </c>
      <c r="B84" s="63" t="s">
        <v>623</v>
      </c>
      <c r="C84" s="22">
        <v>1</v>
      </c>
      <c r="D84" s="22" t="s">
        <v>32</v>
      </c>
      <c r="E84" s="22">
        <v>1</v>
      </c>
      <c r="F84" s="21">
        <f>200000/1000</f>
        <v>200</v>
      </c>
      <c r="G84" s="22"/>
      <c r="H84" s="22"/>
      <c r="I84" s="22"/>
      <c r="J84" s="22"/>
      <c r="K84" s="22"/>
    </row>
    <row r="85" spans="1:11" s="69" customFormat="1" ht="47.25" customHeight="1" x14ac:dyDescent="0.4">
      <c r="A85" s="21">
        <v>2</v>
      </c>
      <c r="B85" s="63" t="s">
        <v>400</v>
      </c>
      <c r="C85" s="22">
        <v>2</v>
      </c>
      <c r="D85" s="22" t="s">
        <v>32</v>
      </c>
      <c r="E85" s="22">
        <v>1</v>
      </c>
      <c r="F85" s="21">
        <f>50000/1000</f>
        <v>50</v>
      </c>
      <c r="G85" s="22"/>
      <c r="H85" s="22"/>
      <c r="I85" s="22"/>
      <c r="J85" s="22"/>
      <c r="K85" s="22"/>
    </row>
    <row r="86" spans="1:11" s="69" customFormat="1" ht="47.25" customHeight="1" x14ac:dyDescent="0.4">
      <c r="A86" s="21">
        <v>3</v>
      </c>
      <c r="B86" s="63" t="s">
        <v>401</v>
      </c>
      <c r="C86" s="22">
        <v>3</v>
      </c>
      <c r="D86" s="22" t="s">
        <v>32</v>
      </c>
      <c r="E86" s="22">
        <v>1</v>
      </c>
      <c r="F86" s="21">
        <f>80000/1000</f>
        <v>80</v>
      </c>
      <c r="G86" s="22"/>
      <c r="H86" s="22"/>
      <c r="I86" s="22"/>
      <c r="J86" s="22"/>
      <c r="K86" s="22"/>
    </row>
    <row r="87" spans="1:11" s="69" customFormat="1" ht="47.25" customHeight="1" x14ac:dyDescent="0.4">
      <c r="A87" s="21">
        <v>4</v>
      </c>
      <c r="B87" s="25" t="s">
        <v>372</v>
      </c>
      <c r="C87" s="22">
        <v>4</v>
      </c>
      <c r="D87" s="22" t="s">
        <v>32</v>
      </c>
      <c r="E87" s="22">
        <v>1</v>
      </c>
      <c r="F87" s="21">
        <f>200000/1000</f>
        <v>200</v>
      </c>
      <c r="G87" s="22"/>
      <c r="H87" s="22"/>
      <c r="I87" s="22"/>
      <c r="J87" s="22"/>
      <c r="K87" s="22"/>
    </row>
    <row r="88" spans="1:11" s="69" customFormat="1" ht="50.25" customHeight="1" x14ac:dyDescent="0.4">
      <c r="A88" s="21">
        <v>5</v>
      </c>
      <c r="B88" s="25" t="s">
        <v>373</v>
      </c>
      <c r="C88" s="22">
        <v>4</v>
      </c>
      <c r="D88" s="22" t="s">
        <v>32</v>
      </c>
      <c r="E88" s="22">
        <v>1</v>
      </c>
      <c r="F88" s="21">
        <f>100000/1000</f>
        <v>100</v>
      </c>
      <c r="G88" s="22"/>
      <c r="H88" s="22"/>
      <c r="I88" s="22"/>
      <c r="J88" s="22"/>
      <c r="K88" s="22"/>
    </row>
    <row r="89" spans="1:11" s="69" customFormat="1" ht="58.5" customHeight="1" x14ac:dyDescent="0.4">
      <c r="A89" s="21">
        <v>6</v>
      </c>
      <c r="B89" s="25" t="s">
        <v>412</v>
      </c>
      <c r="C89" s="22">
        <v>4</v>
      </c>
      <c r="D89" s="22" t="s">
        <v>32</v>
      </c>
      <c r="E89" s="22">
        <v>1</v>
      </c>
      <c r="F89" s="21">
        <f>150000/1000</f>
        <v>150</v>
      </c>
      <c r="G89" s="22"/>
      <c r="H89" s="22"/>
      <c r="I89" s="22"/>
      <c r="J89" s="22"/>
      <c r="K89" s="22"/>
    </row>
    <row r="90" spans="1:11" s="69" customFormat="1" ht="53.25" customHeight="1" x14ac:dyDescent="0.4">
      <c r="A90" s="21">
        <v>7</v>
      </c>
      <c r="B90" s="25" t="s">
        <v>293</v>
      </c>
      <c r="C90" s="22">
        <v>4</v>
      </c>
      <c r="D90" s="22" t="s">
        <v>32</v>
      </c>
      <c r="E90" s="22">
        <v>1</v>
      </c>
      <c r="F90" s="21">
        <f>100000/1000</f>
        <v>100</v>
      </c>
      <c r="G90" s="22"/>
      <c r="H90" s="22"/>
      <c r="I90" s="22"/>
      <c r="J90" s="22"/>
      <c r="K90" s="22"/>
    </row>
    <row r="91" spans="1:11" s="69" customFormat="1" ht="53.25" customHeight="1" x14ac:dyDescent="0.4">
      <c r="A91" s="21">
        <v>8</v>
      </c>
      <c r="B91" s="25" t="s">
        <v>453</v>
      </c>
      <c r="C91" s="22">
        <v>6</v>
      </c>
      <c r="D91" s="22" t="s">
        <v>32</v>
      </c>
      <c r="E91" s="22">
        <v>1</v>
      </c>
      <c r="F91" s="21">
        <f>50000/1000</f>
        <v>50</v>
      </c>
      <c r="G91" s="22"/>
      <c r="H91" s="22"/>
      <c r="I91" s="22"/>
      <c r="J91" s="22"/>
      <c r="K91" s="22"/>
    </row>
    <row r="92" spans="1:11" s="69" customFormat="1" ht="53.25" customHeight="1" x14ac:dyDescent="0.4">
      <c r="A92" s="21">
        <v>9</v>
      </c>
      <c r="B92" s="25" t="s">
        <v>454</v>
      </c>
      <c r="C92" s="22">
        <v>6</v>
      </c>
      <c r="D92" s="22" t="s">
        <v>32</v>
      </c>
      <c r="E92" s="22">
        <v>1</v>
      </c>
      <c r="F92" s="21">
        <f>50000/1000</f>
        <v>50</v>
      </c>
      <c r="G92" s="22"/>
      <c r="H92" s="22"/>
      <c r="I92" s="22"/>
      <c r="J92" s="22"/>
      <c r="K92" s="22"/>
    </row>
    <row r="93" spans="1:11" s="69" customFormat="1" ht="45.75" customHeight="1" x14ac:dyDescent="0.4">
      <c r="A93" s="21">
        <v>10</v>
      </c>
      <c r="B93" s="63" t="s">
        <v>374</v>
      </c>
      <c r="C93" s="22">
        <v>11</v>
      </c>
      <c r="D93" s="22" t="s">
        <v>32</v>
      </c>
      <c r="E93" s="22">
        <v>1</v>
      </c>
      <c r="F93" s="21">
        <f>100000/1000</f>
        <v>100</v>
      </c>
      <c r="G93" s="22"/>
      <c r="H93" s="22"/>
      <c r="I93" s="22"/>
      <c r="J93" s="22"/>
      <c r="K93" s="22"/>
    </row>
    <row r="94" spans="1:11" s="69" customFormat="1" ht="48" customHeight="1" x14ac:dyDescent="0.4">
      <c r="A94" s="21">
        <v>11</v>
      </c>
      <c r="B94" s="25" t="s">
        <v>375</v>
      </c>
      <c r="C94" s="22">
        <v>16</v>
      </c>
      <c r="D94" s="22" t="s">
        <v>32</v>
      </c>
      <c r="E94" s="22">
        <v>1</v>
      </c>
      <c r="F94" s="21">
        <v>150</v>
      </c>
      <c r="G94" s="22"/>
      <c r="H94" s="22"/>
      <c r="I94" s="22"/>
      <c r="J94" s="22"/>
      <c r="K94" s="22"/>
    </row>
    <row r="95" spans="1:11" s="69" customFormat="1" ht="52.5" customHeight="1" x14ac:dyDescent="0.4">
      <c r="A95" s="21">
        <v>12</v>
      </c>
      <c r="B95" s="25" t="s">
        <v>336</v>
      </c>
      <c r="C95" s="22">
        <v>17</v>
      </c>
      <c r="D95" s="22" t="s">
        <v>32</v>
      </c>
      <c r="E95" s="22">
        <v>1</v>
      </c>
      <c r="F95" s="21">
        <v>50</v>
      </c>
      <c r="G95" s="22"/>
      <c r="H95" s="22"/>
      <c r="I95" s="22"/>
      <c r="J95" s="22"/>
      <c r="K95" s="22"/>
    </row>
    <row r="96" spans="1:11" s="69" customFormat="1" ht="53.25" customHeight="1" x14ac:dyDescent="0.4">
      <c r="A96" s="21">
        <v>13</v>
      </c>
      <c r="B96" s="63" t="s">
        <v>343</v>
      </c>
      <c r="C96" s="22">
        <v>18</v>
      </c>
      <c r="D96" s="22" t="s">
        <v>32</v>
      </c>
      <c r="E96" s="22">
        <v>1</v>
      </c>
      <c r="F96" s="21">
        <f>90000/1000</f>
        <v>90</v>
      </c>
      <c r="G96" s="22"/>
      <c r="H96" s="22"/>
      <c r="I96" s="22"/>
      <c r="J96" s="22"/>
      <c r="K96" s="22"/>
    </row>
    <row r="97" spans="1:11" s="69" customFormat="1" ht="45" customHeight="1" x14ac:dyDescent="0.4">
      <c r="A97" s="21">
        <v>14</v>
      </c>
      <c r="B97" s="63" t="s">
        <v>344</v>
      </c>
      <c r="C97" s="22">
        <v>18</v>
      </c>
      <c r="D97" s="22" t="s">
        <v>32</v>
      </c>
      <c r="E97" s="22">
        <v>1</v>
      </c>
      <c r="F97" s="21">
        <f>150000/1000</f>
        <v>150</v>
      </c>
      <c r="G97" s="22"/>
      <c r="H97" s="22"/>
      <c r="I97" s="22"/>
      <c r="J97" s="22"/>
      <c r="K97" s="22"/>
    </row>
    <row r="98" spans="1:11" s="69" customFormat="1" ht="47.25" customHeight="1" x14ac:dyDescent="0.4">
      <c r="A98" s="21">
        <v>15</v>
      </c>
      <c r="B98" s="63" t="s">
        <v>345</v>
      </c>
      <c r="C98" s="22">
        <v>18</v>
      </c>
      <c r="D98" s="22" t="s">
        <v>32</v>
      </c>
      <c r="E98" s="22">
        <v>1</v>
      </c>
      <c r="F98" s="21">
        <f>50000/1000</f>
        <v>50</v>
      </c>
      <c r="G98" s="22"/>
      <c r="H98" s="22"/>
      <c r="I98" s="22"/>
      <c r="J98" s="22"/>
      <c r="K98" s="22"/>
    </row>
    <row r="99" spans="1:11" s="69" customFormat="1" ht="47.25" customHeight="1" x14ac:dyDescent="0.4">
      <c r="A99" s="21">
        <v>16</v>
      </c>
      <c r="B99" s="63" t="s">
        <v>346</v>
      </c>
      <c r="C99" s="22">
        <v>18</v>
      </c>
      <c r="D99" s="22" t="s">
        <v>32</v>
      </c>
      <c r="E99" s="22">
        <v>1</v>
      </c>
      <c r="F99" s="21">
        <f>11000/1000</f>
        <v>11</v>
      </c>
      <c r="G99" s="22"/>
      <c r="H99" s="22"/>
      <c r="I99" s="22"/>
      <c r="J99" s="22"/>
      <c r="K99" s="22"/>
    </row>
    <row r="100" spans="1:11" s="69" customFormat="1" ht="52.5" customHeight="1" x14ac:dyDescent="0.4">
      <c r="A100" s="21">
        <v>17</v>
      </c>
      <c r="B100" s="63" t="s">
        <v>347</v>
      </c>
      <c r="C100" s="22">
        <v>19</v>
      </c>
      <c r="D100" s="22" t="s">
        <v>32</v>
      </c>
      <c r="E100" s="22">
        <v>1</v>
      </c>
      <c r="F100" s="21">
        <f>40000/1000</f>
        <v>40</v>
      </c>
      <c r="G100" s="22"/>
      <c r="H100" s="22"/>
      <c r="I100" s="22"/>
      <c r="J100" s="22"/>
      <c r="K100" s="22"/>
    </row>
    <row r="101" spans="1:11" s="69" customFormat="1" ht="21.75" customHeight="1" x14ac:dyDescent="0.4">
      <c r="A101" s="175" t="s">
        <v>14</v>
      </c>
      <c r="B101" s="175"/>
      <c r="C101" s="175"/>
      <c r="D101" s="175"/>
      <c r="E101" s="175"/>
      <c r="F101" s="59"/>
      <c r="G101" s="62"/>
      <c r="H101" s="62"/>
      <c r="I101" s="62"/>
      <c r="J101" s="62"/>
      <c r="K101" s="62"/>
    </row>
    <row r="102" spans="1:11" s="69" customFormat="1" ht="23.25" customHeight="1" x14ac:dyDescent="0.4">
      <c r="A102" s="194" t="s">
        <v>30</v>
      </c>
      <c r="B102" s="195"/>
      <c r="C102" s="195"/>
      <c r="D102" s="195"/>
      <c r="E102" s="195"/>
      <c r="F102" s="86"/>
      <c r="G102" s="86"/>
      <c r="H102" s="86"/>
      <c r="I102" s="86"/>
      <c r="J102" s="86"/>
      <c r="K102" s="87"/>
    </row>
    <row r="103" spans="1:11" s="69" customFormat="1" ht="31.5" customHeight="1" x14ac:dyDescent="0.4">
      <c r="A103" s="21"/>
      <c r="B103" s="73"/>
      <c r="C103" s="73"/>
      <c r="D103" s="73"/>
      <c r="E103" s="73"/>
      <c r="F103" s="73"/>
      <c r="G103" s="22"/>
      <c r="H103" s="22"/>
      <c r="I103" s="22"/>
      <c r="J103" s="22"/>
      <c r="K103" s="22"/>
    </row>
    <row r="104" spans="1:11" s="69" customFormat="1" ht="30.75" customHeight="1" x14ac:dyDescent="0.4">
      <c r="A104" s="175" t="s">
        <v>14</v>
      </c>
      <c r="B104" s="175"/>
      <c r="C104" s="175"/>
      <c r="D104" s="175"/>
      <c r="E104" s="175"/>
      <c r="F104" s="59"/>
      <c r="G104" s="62"/>
      <c r="H104" s="62"/>
      <c r="I104" s="62"/>
      <c r="J104" s="62"/>
      <c r="K104" s="62"/>
    </row>
    <row r="105" spans="1:11" s="69" customFormat="1" ht="24" customHeight="1" x14ac:dyDescent="0.4">
      <c r="A105" s="194" t="s">
        <v>31</v>
      </c>
      <c r="B105" s="195"/>
      <c r="C105" s="195"/>
      <c r="D105" s="195"/>
      <c r="E105" s="195"/>
      <c r="F105" s="86"/>
      <c r="G105" s="86"/>
      <c r="H105" s="86"/>
      <c r="I105" s="86"/>
      <c r="J105" s="86"/>
      <c r="K105" s="87"/>
    </row>
    <row r="106" spans="1:11" s="69" customFormat="1" ht="51" customHeight="1" x14ac:dyDescent="0.4">
      <c r="A106" s="21">
        <v>1</v>
      </c>
      <c r="B106" s="63" t="s">
        <v>64</v>
      </c>
      <c r="C106" s="22">
        <v>1</v>
      </c>
      <c r="D106" s="22" t="s">
        <v>32</v>
      </c>
      <c r="E106" s="22">
        <v>1</v>
      </c>
      <c r="F106" s="21">
        <f>500000/1000</f>
        <v>500</v>
      </c>
      <c r="G106" s="22"/>
      <c r="H106" s="22"/>
      <c r="I106" s="22"/>
      <c r="J106" s="22"/>
      <c r="K106" s="22"/>
    </row>
    <row r="107" spans="1:11" s="69" customFormat="1" ht="52.5" customHeight="1" x14ac:dyDescent="0.4">
      <c r="A107" s="21">
        <v>2</v>
      </c>
      <c r="B107" s="63" t="s">
        <v>284</v>
      </c>
      <c r="C107" s="22">
        <v>1</v>
      </c>
      <c r="D107" s="22" t="s">
        <v>32</v>
      </c>
      <c r="E107" s="22">
        <v>1</v>
      </c>
      <c r="F107" s="21">
        <f>100000/1000</f>
        <v>100</v>
      </c>
      <c r="G107" s="22"/>
      <c r="H107" s="22"/>
      <c r="I107" s="22"/>
      <c r="J107" s="22"/>
      <c r="K107" s="22"/>
    </row>
    <row r="108" spans="1:11" s="69" customFormat="1" ht="46.5" customHeight="1" x14ac:dyDescent="0.4">
      <c r="A108" s="21">
        <v>3</v>
      </c>
      <c r="B108" s="63" t="s">
        <v>297</v>
      </c>
      <c r="C108" s="22">
        <v>5</v>
      </c>
      <c r="D108" s="22" t="s">
        <v>32</v>
      </c>
      <c r="E108" s="22">
        <v>1</v>
      </c>
      <c r="F108" s="21">
        <f>50000/1000</f>
        <v>50</v>
      </c>
      <c r="G108" s="22"/>
      <c r="H108" s="22"/>
      <c r="I108" s="22"/>
      <c r="J108" s="22"/>
      <c r="K108" s="22"/>
    </row>
    <row r="109" spans="1:11" s="69" customFormat="1" ht="50.25" customHeight="1" x14ac:dyDescent="0.4">
      <c r="A109" s="21">
        <v>4</v>
      </c>
      <c r="B109" s="63" t="s">
        <v>298</v>
      </c>
      <c r="C109" s="22">
        <v>5</v>
      </c>
      <c r="D109" s="22" t="s">
        <v>32</v>
      </c>
      <c r="E109" s="22">
        <v>1</v>
      </c>
      <c r="F109" s="21">
        <f>100000/1000</f>
        <v>100</v>
      </c>
      <c r="G109" s="22"/>
      <c r="H109" s="22"/>
      <c r="I109" s="22"/>
      <c r="J109" s="22"/>
      <c r="K109" s="22"/>
    </row>
    <row r="110" spans="1:11" s="69" customFormat="1" ht="47.25" customHeight="1" x14ac:dyDescent="0.4">
      <c r="A110" s="21">
        <v>5</v>
      </c>
      <c r="B110" s="63" t="s">
        <v>299</v>
      </c>
      <c r="C110" s="22">
        <v>5</v>
      </c>
      <c r="D110" s="22" t="s">
        <v>32</v>
      </c>
      <c r="E110" s="22">
        <v>1</v>
      </c>
      <c r="F110" s="21">
        <f>150000/1000</f>
        <v>150</v>
      </c>
      <c r="G110" s="22"/>
      <c r="H110" s="22"/>
      <c r="I110" s="22"/>
      <c r="J110" s="22"/>
      <c r="K110" s="22"/>
    </row>
    <row r="111" spans="1:11" s="69" customFormat="1" ht="51" customHeight="1" x14ac:dyDescent="0.4">
      <c r="A111" s="21">
        <v>6</v>
      </c>
      <c r="B111" s="63" t="s">
        <v>300</v>
      </c>
      <c r="C111" s="22">
        <v>5</v>
      </c>
      <c r="D111" s="22" t="s">
        <v>32</v>
      </c>
      <c r="E111" s="22">
        <v>1</v>
      </c>
      <c r="F111" s="21">
        <f>150000/1000</f>
        <v>150</v>
      </c>
      <c r="G111" s="22"/>
      <c r="H111" s="22"/>
      <c r="I111" s="22"/>
      <c r="J111" s="22"/>
      <c r="K111" s="22"/>
    </row>
    <row r="112" spans="1:11" s="69" customFormat="1" ht="45.75" customHeight="1" x14ac:dyDescent="0.4">
      <c r="A112" s="21">
        <v>7</v>
      </c>
      <c r="B112" s="63" t="s">
        <v>301</v>
      </c>
      <c r="C112" s="22">
        <v>5</v>
      </c>
      <c r="D112" s="22" t="s">
        <v>32</v>
      </c>
      <c r="E112" s="22">
        <v>1</v>
      </c>
      <c r="F112" s="21">
        <f>50000/1000</f>
        <v>50</v>
      </c>
      <c r="G112" s="22"/>
      <c r="H112" s="22"/>
      <c r="I112" s="22"/>
      <c r="J112" s="22"/>
      <c r="K112" s="22"/>
    </row>
    <row r="113" spans="1:11" s="69" customFormat="1" ht="46.5" customHeight="1" x14ac:dyDescent="0.4">
      <c r="A113" s="21">
        <v>8</v>
      </c>
      <c r="B113" s="63" t="s">
        <v>302</v>
      </c>
      <c r="C113" s="22">
        <v>5</v>
      </c>
      <c r="D113" s="22" t="s">
        <v>47</v>
      </c>
      <c r="E113" s="29">
        <f>50/1000</f>
        <v>0.05</v>
      </c>
      <c r="F113" s="21">
        <f>100000/1000</f>
        <v>100</v>
      </c>
      <c r="G113" s="22"/>
      <c r="H113" s="22"/>
      <c r="I113" s="22"/>
      <c r="J113" s="22"/>
      <c r="K113" s="22"/>
    </row>
    <row r="114" spans="1:11" s="69" customFormat="1" ht="49.5" customHeight="1" x14ac:dyDescent="0.4">
      <c r="A114" s="21">
        <v>9</v>
      </c>
      <c r="B114" s="63" t="s">
        <v>303</v>
      </c>
      <c r="C114" s="22">
        <v>5</v>
      </c>
      <c r="D114" s="22" t="s">
        <v>32</v>
      </c>
      <c r="E114" s="21">
        <v>1</v>
      </c>
      <c r="F114" s="21">
        <f>100000/1000</f>
        <v>100</v>
      </c>
      <c r="G114" s="22"/>
      <c r="H114" s="22"/>
      <c r="I114" s="22"/>
      <c r="J114" s="22"/>
      <c r="K114" s="22"/>
    </row>
    <row r="115" spans="1:11" s="69" customFormat="1" ht="48.75" customHeight="1" x14ac:dyDescent="0.4">
      <c r="A115" s="21">
        <v>10</v>
      </c>
      <c r="B115" s="63" t="s">
        <v>304</v>
      </c>
      <c r="C115" s="22">
        <v>5</v>
      </c>
      <c r="D115" s="22" t="s">
        <v>32</v>
      </c>
      <c r="E115" s="22">
        <v>1</v>
      </c>
      <c r="F115" s="21">
        <f>100000/1000</f>
        <v>100</v>
      </c>
      <c r="G115" s="22"/>
      <c r="H115" s="22"/>
      <c r="I115" s="22"/>
      <c r="J115" s="22"/>
      <c r="K115" s="22"/>
    </row>
    <row r="116" spans="1:11" s="69" customFormat="1" ht="51.75" customHeight="1" x14ac:dyDescent="0.4">
      <c r="A116" s="21">
        <v>11</v>
      </c>
      <c r="B116" s="63" t="s">
        <v>471</v>
      </c>
      <c r="C116" s="22">
        <v>5</v>
      </c>
      <c r="D116" s="22" t="s">
        <v>47</v>
      </c>
      <c r="E116" s="29">
        <f>50/1000</f>
        <v>0.05</v>
      </c>
      <c r="F116" s="21">
        <f>100000/1000</f>
        <v>100</v>
      </c>
      <c r="G116" s="22"/>
      <c r="H116" s="22"/>
      <c r="I116" s="22"/>
      <c r="J116" s="22"/>
      <c r="K116" s="22"/>
    </row>
    <row r="117" spans="1:11" s="69" customFormat="1" ht="45.75" customHeight="1" x14ac:dyDescent="0.4">
      <c r="A117" s="21">
        <v>12</v>
      </c>
      <c r="B117" s="63" t="s">
        <v>305</v>
      </c>
      <c r="C117" s="22">
        <v>5</v>
      </c>
      <c r="D117" s="22" t="s">
        <v>47</v>
      </c>
      <c r="E117" s="29">
        <f>50/1000</f>
        <v>0.05</v>
      </c>
      <c r="F117" s="21">
        <f>100000/1000</f>
        <v>100</v>
      </c>
      <c r="G117" s="22"/>
      <c r="H117" s="22"/>
      <c r="I117" s="22"/>
      <c r="J117" s="22"/>
      <c r="K117" s="22"/>
    </row>
    <row r="118" spans="1:11" s="69" customFormat="1" ht="45.75" customHeight="1" x14ac:dyDescent="0.4">
      <c r="A118" s="21">
        <v>13</v>
      </c>
      <c r="B118" s="63" t="s">
        <v>399</v>
      </c>
      <c r="C118" s="22">
        <v>5</v>
      </c>
      <c r="D118" s="22" t="s">
        <v>32</v>
      </c>
      <c r="E118" s="22">
        <v>1</v>
      </c>
      <c r="F118" s="21">
        <f>80000/1000</f>
        <v>80</v>
      </c>
      <c r="G118" s="22"/>
      <c r="H118" s="22"/>
      <c r="I118" s="22"/>
      <c r="J118" s="22"/>
      <c r="K118" s="22"/>
    </row>
    <row r="119" spans="1:11" s="69" customFormat="1" ht="54.75" customHeight="1" x14ac:dyDescent="0.4">
      <c r="A119" s="21">
        <v>14</v>
      </c>
      <c r="B119" s="63" t="s">
        <v>396</v>
      </c>
      <c r="C119" s="22">
        <v>6</v>
      </c>
      <c r="D119" s="22" t="s">
        <v>32</v>
      </c>
      <c r="E119" s="22">
        <v>1</v>
      </c>
      <c r="F119" s="21">
        <f>100000/1000</f>
        <v>100</v>
      </c>
      <c r="G119" s="22"/>
      <c r="H119" s="22"/>
      <c r="I119" s="22"/>
      <c r="J119" s="22"/>
      <c r="K119" s="22"/>
    </row>
    <row r="120" spans="1:11" s="69" customFormat="1" ht="45.75" customHeight="1" x14ac:dyDescent="0.4">
      <c r="A120" s="21">
        <v>15</v>
      </c>
      <c r="B120" s="63" t="s">
        <v>397</v>
      </c>
      <c r="C120" s="22">
        <v>6</v>
      </c>
      <c r="D120" s="22" t="s">
        <v>32</v>
      </c>
      <c r="E120" s="22">
        <v>1</v>
      </c>
      <c r="F120" s="21">
        <f>50000/1000</f>
        <v>50</v>
      </c>
      <c r="G120" s="22"/>
      <c r="H120" s="22"/>
      <c r="I120" s="22"/>
      <c r="J120" s="22"/>
      <c r="K120" s="22"/>
    </row>
    <row r="121" spans="1:11" s="69" customFormat="1" ht="45.75" customHeight="1" x14ac:dyDescent="0.4">
      <c r="A121" s="21">
        <v>16</v>
      </c>
      <c r="B121" s="63" t="s">
        <v>411</v>
      </c>
      <c r="C121" s="22">
        <v>6</v>
      </c>
      <c r="D121" s="22" t="s">
        <v>32</v>
      </c>
      <c r="E121" s="22">
        <v>1</v>
      </c>
      <c r="F121" s="21">
        <f t="shared" ref="F121:F128" si="7">100000/1000</f>
        <v>100</v>
      </c>
      <c r="G121" s="22"/>
      <c r="H121" s="22"/>
      <c r="I121" s="22"/>
      <c r="J121" s="22"/>
      <c r="K121" s="22"/>
    </row>
    <row r="122" spans="1:11" s="69" customFormat="1" ht="47.25" customHeight="1" x14ac:dyDescent="0.4">
      <c r="A122" s="21">
        <v>17</v>
      </c>
      <c r="B122" s="63" t="s">
        <v>310</v>
      </c>
      <c r="C122" s="22">
        <v>7</v>
      </c>
      <c r="D122" s="22" t="s">
        <v>32</v>
      </c>
      <c r="E122" s="22">
        <v>1</v>
      </c>
      <c r="F122" s="21">
        <f t="shared" si="7"/>
        <v>100</v>
      </c>
      <c r="G122" s="22"/>
      <c r="H122" s="22"/>
      <c r="I122" s="22"/>
      <c r="J122" s="22"/>
      <c r="K122" s="22"/>
    </row>
    <row r="123" spans="1:11" s="69" customFormat="1" ht="37.5" customHeight="1" x14ac:dyDescent="0.4">
      <c r="A123" s="21">
        <v>18</v>
      </c>
      <c r="B123" s="63" t="s">
        <v>311</v>
      </c>
      <c r="C123" s="22">
        <v>7</v>
      </c>
      <c r="D123" s="22" t="s">
        <v>32</v>
      </c>
      <c r="E123" s="22">
        <v>1</v>
      </c>
      <c r="F123" s="21">
        <f t="shared" si="7"/>
        <v>100</v>
      </c>
      <c r="G123" s="22"/>
      <c r="H123" s="22"/>
      <c r="I123" s="22"/>
      <c r="J123" s="22"/>
      <c r="K123" s="22"/>
    </row>
    <row r="124" spans="1:11" s="69" customFormat="1" ht="50.25" customHeight="1" x14ac:dyDescent="0.4">
      <c r="A124" s="21">
        <v>19</v>
      </c>
      <c r="B124" s="63" t="s">
        <v>312</v>
      </c>
      <c r="C124" s="22">
        <v>7</v>
      </c>
      <c r="D124" s="22" t="s">
        <v>32</v>
      </c>
      <c r="E124" s="22">
        <v>1</v>
      </c>
      <c r="F124" s="21">
        <f t="shared" si="7"/>
        <v>100</v>
      </c>
      <c r="G124" s="22"/>
      <c r="H124" s="22"/>
      <c r="I124" s="22"/>
      <c r="J124" s="22"/>
      <c r="K124" s="22"/>
    </row>
    <row r="125" spans="1:11" s="69" customFormat="1" ht="44.25" customHeight="1" x14ac:dyDescent="0.4">
      <c r="A125" s="21">
        <v>20</v>
      </c>
      <c r="B125" s="63" t="s">
        <v>455</v>
      </c>
      <c r="C125" s="22">
        <v>7</v>
      </c>
      <c r="D125" s="22" t="s">
        <v>32</v>
      </c>
      <c r="E125" s="22">
        <v>1</v>
      </c>
      <c r="F125" s="21">
        <f t="shared" si="7"/>
        <v>100</v>
      </c>
      <c r="G125" s="22"/>
      <c r="H125" s="22"/>
      <c r="I125" s="22"/>
      <c r="J125" s="22"/>
      <c r="K125" s="22"/>
    </row>
    <row r="126" spans="1:11" s="69" customFormat="1" ht="37.5" customHeight="1" x14ac:dyDescent="0.4">
      <c r="A126" s="21">
        <v>21</v>
      </c>
      <c r="B126" s="63" t="s">
        <v>313</v>
      </c>
      <c r="C126" s="22">
        <v>7</v>
      </c>
      <c r="D126" s="22" t="s">
        <v>32</v>
      </c>
      <c r="E126" s="22">
        <v>1</v>
      </c>
      <c r="F126" s="21">
        <f t="shared" si="7"/>
        <v>100</v>
      </c>
      <c r="G126" s="22"/>
      <c r="H126" s="22"/>
      <c r="I126" s="22"/>
      <c r="J126" s="22"/>
      <c r="K126" s="22"/>
    </row>
    <row r="127" spans="1:11" s="69" customFormat="1" ht="44.25" customHeight="1" x14ac:dyDescent="0.4">
      <c r="A127" s="21">
        <v>22</v>
      </c>
      <c r="B127" s="63" t="s">
        <v>314</v>
      </c>
      <c r="C127" s="22">
        <v>7</v>
      </c>
      <c r="D127" s="22" t="s">
        <v>32</v>
      </c>
      <c r="E127" s="22">
        <v>1</v>
      </c>
      <c r="F127" s="21">
        <f t="shared" si="7"/>
        <v>100</v>
      </c>
      <c r="G127" s="22"/>
      <c r="H127" s="22"/>
      <c r="I127" s="22"/>
      <c r="J127" s="22"/>
      <c r="K127" s="22"/>
    </row>
    <row r="128" spans="1:11" s="69" customFormat="1" ht="40.5" customHeight="1" x14ac:dyDescent="0.4">
      <c r="A128" s="21">
        <v>23</v>
      </c>
      <c r="B128" s="63" t="s">
        <v>315</v>
      </c>
      <c r="C128" s="22">
        <v>7</v>
      </c>
      <c r="D128" s="22" t="s">
        <v>32</v>
      </c>
      <c r="E128" s="22">
        <v>1</v>
      </c>
      <c r="F128" s="21">
        <f t="shared" si="7"/>
        <v>100</v>
      </c>
      <c r="G128" s="22"/>
      <c r="H128" s="22"/>
      <c r="I128" s="22"/>
      <c r="J128" s="22"/>
      <c r="K128" s="22"/>
    </row>
    <row r="129" spans="1:11" s="69" customFormat="1" ht="47.25" customHeight="1" x14ac:dyDescent="0.4">
      <c r="A129" s="21">
        <v>24</v>
      </c>
      <c r="B129" s="63" t="s">
        <v>319</v>
      </c>
      <c r="C129" s="22">
        <v>8</v>
      </c>
      <c r="D129" s="22" t="s">
        <v>32</v>
      </c>
      <c r="E129" s="22">
        <v>1</v>
      </c>
      <c r="F129" s="21">
        <f>150000/1000</f>
        <v>150</v>
      </c>
      <c r="G129" s="22"/>
      <c r="H129" s="22"/>
      <c r="I129" s="22"/>
      <c r="J129" s="22"/>
      <c r="K129" s="22"/>
    </row>
    <row r="130" spans="1:11" s="69" customFormat="1" ht="45" customHeight="1" x14ac:dyDescent="0.4">
      <c r="A130" s="21">
        <v>25</v>
      </c>
      <c r="B130" s="25" t="s">
        <v>320</v>
      </c>
      <c r="C130" s="22">
        <v>8</v>
      </c>
      <c r="D130" s="22" t="s">
        <v>32</v>
      </c>
      <c r="E130" s="22">
        <v>1</v>
      </c>
      <c r="F130" s="21">
        <f>50000/1000</f>
        <v>50</v>
      </c>
      <c r="G130" s="22"/>
      <c r="H130" s="22"/>
      <c r="I130" s="22"/>
      <c r="J130" s="22"/>
      <c r="K130" s="22"/>
    </row>
    <row r="131" spans="1:11" s="69" customFormat="1" ht="44.25" customHeight="1" x14ac:dyDescent="0.4">
      <c r="A131" s="21">
        <v>26</v>
      </c>
      <c r="B131" s="25" t="s">
        <v>321</v>
      </c>
      <c r="C131" s="22">
        <v>8</v>
      </c>
      <c r="D131" s="22" t="s">
        <v>32</v>
      </c>
      <c r="E131" s="22">
        <v>1</v>
      </c>
      <c r="F131" s="21">
        <f>50000/1000</f>
        <v>50</v>
      </c>
      <c r="G131" s="22"/>
      <c r="H131" s="22"/>
      <c r="I131" s="22"/>
      <c r="J131" s="22"/>
      <c r="K131" s="22"/>
    </row>
    <row r="132" spans="1:11" s="69" customFormat="1" ht="45" customHeight="1" x14ac:dyDescent="0.4">
      <c r="A132" s="21">
        <v>27</v>
      </c>
      <c r="B132" s="63" t="s">
        <v>325</v>
      </c>
      <c r="C132" s="22">
        <v>10</v>
      </c>
      <c r="D132" s="22" t="s">
        <v>38</v>
      </c>
      <c r="E132" s="29">
        <f>60/1000</f>
        <v>0.06</v>
      </c>
      <c r="F132" s="21">
        <f>150000/1000</f>
        <v>150</v>
      </c>
      <c r="G132" s="22"/>
      <c r="H132" s="22"/>
      <c r="I132" s="22"/>
      <c r="J132" s="22"/>
      <c r="K132" s="22"/>
    </row>
    <row r="133" spans="1:11" s="69" customFormat="1" ht="42" customHeight="1" x14ac:dyDescent="0.4">
      <c r="A133" s="21">
        <v>28</v>
      </c>
      <c r="B133" s="63" t="s">
        <v>413</v>
      </c>
      <c r="C133" s="22">
        <v>13</v>
      </c>
      <c r="D133" s="22" t="s">
        <v>32</v>
      </c>
      <c r="E133" s="22">
        <v>1</v>
      </c>
      <c r="F133" s="21">
        <f>50000/1000</f>
        <v>50</v>
      </c>
      <c r="G133" s="22"/>
      <c r="H133" s="22"/>
      <c r="I133" s="22"/>
      <c r="J133" s="22"/>
      <c r="K133" s="22"/>
    </row>
    <row r="134" spans="1:11" s="69" customFormat="1" ht="37.5" customHeight="1" x14ac:dyDescent="0.4">
      <c r="A134" s="21">
        <v>29</v>
      </c>
      <c r="B134" s="25" t="s">
        <v>456</v>
      </c>
      <c r="C134" s="22">
        <v>13</v>
      </c>
      <c r="D134" s="22" t="s">
        <v>32</v>
      </c>
      <c r="E134" s="22">
        <v>1</v>
      </c>
      <c r="F134" s="21">
        <f>50000/1000</f>
        <v>50</v>
      </c>
      <c r="G134" s="22"/>
      <c r="H134" s="22"/>
      <c r="I134" s="22"/>
      <c r="J134" s="22"/>
      <c r="K134" s="22"/>
    </row>
    <row r="135" spans="1:11" s="69" customFormat="1" ht="49.5" customHeight="1" x14ac:dyDescent="0.4">
      <c r="A135" s="21">
        <v>30</v>
      </c>
      <c r="B135" s="25" t="s">
        <v>414</v>
      </c>
      <c r="C135" s="22">
        <v>13</v>
      </c>
      <c r="D135" s="22" t="s">
        <v>32</v>
      </c>
      <c r="E135" s="22">
        <v>1</v>
      </c>
      <c r="F135" s="21">
        <f>50000/1000</f>
        <v>50</v>
      </c>
      <c r="G135" s="22"/>
      <c r="H135" s="22"/>
      <c r="I135" s="22"/>
      <c r="J135" s="22"/>
      <c r="K135" s="22"/>
    </row>
    <row r="136" spans="1:11" s="69" customFormat="1" ht="54.75" customHeight="1" x14ac:dyDescent="0.4">
      <c r="A136" s="21">
        <v>31</v>
      </c>
      <c r="B136" s="25" t="s">
        <v>415</v>
      </c>
      <c r="C136" s="22">
        <v>13</v>
      </c>
      <c r="D136" s="22" t="s">
        <v>32</v>
      </c>
      <c r="E136" s="22">
        <v>1</v>
      </c>
      <c r="F136" s="21">
        <f>50000/1000</f>
        <v>50</v>
      </c>
      <c r="G136" s="22"/>
      <c r="H136" s="22"/>
      <c r="I136" s="22"/>
      <c r="J136" s="22"/>
      <c r="K136" s="22"/>
    </row>
    <row r="137" spans="1:11" s="69" customFormat="1" ht="54" customHeight="1" x14ac:dyDescent="0.4">
      <c r="A137" s="21">
        <v>32</v>
      </c>
      <c r="B137" s="25" t="s">
        <v>416</v>
      </c>
      <c r="C137" s="22">
        <v>13</v>
      </c>
      <c r="D137" s="22" t="s">
        <v>32</v>
      </c>
      <c r="E137" s="22">
        <v>1</v>
      </c>
      <c r="F137" s="21">
        <f>50000/1000</f>
        <v>50</v>
      </c>
      <c r="G137" s="22"/>
      <c r="H137" s="22"/>
      <c r="I137" s="22"/>
      <c r="J137" s="22"/>
      <c r="K137" s="22"/>
    </row>
    <row r="138" spans="1:11" s="69" customFormat="1" ht="49.5" customHeight="1" x14ac:dyDescent="0.4">
      <c r="A138" s="21">
        <v>33</v>
      </c>
      <c r="B138" s="63" t="s">
        <v>350</v>
      </c>
      <c r="C138" s="22">
        <v>19</v>
      </c>
      <c r="D138" s="22" t="s">
        <v>32</v>
      </c>
      <c r="E138" s="22">
        <v>1</v>
      </c>
      <c r="F138" s="21">
        <f>20000/1000</f>
        <v>20</v>
      </c>
      <c r="G138" s="22"/>
      <c r="H138" s="22"/>
      <c r="I138" s="22"/>
      <c r="J138" s="22"/>
      <c r="K138" s="22"/>
    </row>
    <row r="139" spans="1:11" s="69" customFormat="1" ht="72.75" customHeight="1" x14ac:dyDescent="0.4">
      <c r="A139" s="21">
        <v>34</v>
      </c>
      <c r="B139" s="63" t="s">
        <v>351</v>
      </c>
      <c r="C139" s="22">
        <v>20</v>
      </c>
      <c r="D139" s="22" t="s">
        <v>32</v>
      </c>
      <c r="E139" s="22">
        <v>1</v>
      </c>
      <c r="F139" s="21">
        <f t="shared" ref="F139:F144" si="8">72671/1000</f>
        <v>72.671000000000006</v>
      </c>
      <c r="G139" s="22"/>
      <c r="H139" s="22"/>
      <c r="I139" s="22"/>
      <c r="J139" s="22"/>
      <c r="K139" s="22"/>
    </row>
    <row r="140" spans="1:11" s="69" customFormat="1" ht="54" customHeight="1" x14ac:dyDescent="0.4">
      <c r="A140" s="21">
        <v>35</v>
      </c>
      <c r="B140" s="63" t="s">
        <v>352</v>
      </c>
      <c r="C140" s="22">
        <v>20</v>
      </c>
      <c r="D140" s="22" t="s">
        <v>32</v>
      </c>
      <c r="E140" s="22">
        <v>1</v>
      </c>
      <c r="F140" s="21">
        <f t="shared" si="8"/>
        <v>72.671000000000006</v>
      </c>
      <c r="G140" s="22"/>
      <c r="H140" s="22"/>
      <c r="I140" s="22"/>
      <c r="J140" s="22"/>
      <c r="K140" s="22"/>
    </row>
    <row r="141" spans="1:11" s="69" customFormat="1" ht="57" customHeight="1" x14ac:dyDescent="0.4">
      <c r="A141" s="21">
        <v>36</v>
      </c>
      <c r="B141" s="63" t="s">
        <v>353</v>
      </c>
      <c r="C141" s="22">
        <v>20</v>
      </c>
      <c r="D141" s="22" t="s">
        <v>32</v>
      </c>
      <c r="E141" s="22">
        <v>1</v>
      </c>
      <c r="F141" s="21">
        <f t="shared" si="8"/>
        <v>72.671000000000006</v>
      </c>
      <c r="G141" s="22"/>
      <c r="H141" s="22"/>
      <c r="I141" s="22"/>
      <c r="J141" s="22"/>
      <c r="K141" s="22"/>
    </row>
    <row r="142" spans="1:11" s="69" customFormat="1" ht="51.75" customHeight="1" x14ac:dyDescent="0.4">
      <c r="A142" s="21">
        <v>37</v>
      </c>
      <c r="B142" s="63" t="s">
        <v>354</v>
      </c>
      <c r="C142" s="22">
        <v>20</v>
      </c>
      <c r="D142" s="22" t="s">
        <v>32</v>
      </c>
      <c r="E142" s="22">
        <v>1</v>
      </c>
      <c r="F142" s="21">
        <f t="shared" si="8"/>
        <v>72.671000000000006</v>
      </c>
      <c r="G142" s="22"/>
      <c r="H142" s="22"/>
      <c r="I142" s="22"/>
      <c r="J142" s="22"/>
      <c r="K142" s="22"/>
    </row>
    <row r="143" spans="1:11" s="69" customFormat="1" ht="46.5" customHeight="1" x14ac:dyDescent="0.4">
      <c r="A143" s="21">
        <v>38</v>
      </c>
      <c r="B143" s="63" t="s">
        <v>355</v>
      </c>
      <c r="C143" s="22">
        <v>20</v>
      </c>
      <c r="D143" s="22" t="s">
        <v>32</v>
      </c>
      <c r="E143" s="22">
        <v>1</v>
      </c>
      <c r="F143" s="21">
        <f t="shared" si="8"/>
        <v>72.671000000000006</v>
      </c>
      <c r="G143" s="22"/>
      <c r="H143" s="22"/>
      <c r="I143" s="22"/>
      <c r="J143" s="22"/>
      <c r="K143" s="22"/>
    </row>
    <row r="144" spans="1:11" s="69" customFormat="1" ht="43.5" customHeight="1" x14ac:dyDescent="0.4">
      <c r="A144" s="21">
        <v>39</v>
      </c>
      <c r="B144" s="63" t="s">
        <v>356</v>
      </c>
      <c r="C144" s="22">
        <v>20</v>
      </c>
      <c r="D144" s="22" t="s">
        <v>32</v>
      </c>
      <c r="E144" s="22">
        <v>1</v>
      </c>
      <c r="F144" s="21">
        <f t="shared" si="8"/>
        <v>72.671000000000006</v>
      </c>
      <c r="G144" s="22"/>
      <c r="H144" s="22"/>
      <c r="I144" s="22"/>
      <c r="J144" s="22"/>
      <c r="K144" s="22"/>
    </row>
    <row r="145" spans="1:11" s="69" customFormat="1" ht="43.5" customHeight="1" x14ac:dyDescent="0.4">
      <c r="A145" s="21">
        <v>40</v>
      </c>
      <c r="B145" s="63" t="s">
        <v>398</v>
      </c>
      <c r="C145" s="22"/>
      <c r="D145" s="22" t="s">
        <v>32</v>
      </c>
      <c r="E145" s="22">
        <v>1</v>
      </c>
      <c r="F145" s="21">
        <f>100000/1000</f>
        <v>100</v>
      </c>
      <c r="G145" s="22"/>
      <c r="H145" s="22"/>
      <c r="I145" s="22"/>
      <c r="J145" s="22"/>
      <c r="K145" s="85"/>
    </row>
    <row r="146" spans="1:11" s="69" customFormat="1" ht="30.75" customHeight="1" x14ac:dyDescent="0.4">
      <c r="A146" s="175" t="s">
        <v>14</v>
      </c>
      <c r="B146" s="175"/>
      <c r="C146" s="175"/>
      <c r="D146" s="175"/>
      <c r="E146" s="175"/>
      <c r="F146" s="21">
        <f>SUM(F9:F145)</f>
        <v>12288.868000000002</v>
      </c>
      <c r="G146" s="62"/>
      <c r="H146" s="62"/>
      <c r="I146" s="95"/>
      <c r="J146" s="95"/>
      <c r="K146" s="104"/>
    </row>
    <row r="147" spans="1:11" x14ac:dyDescent="0.45">
      <c r="A147" s="74"/>
      <c r="D147" s="75"/>
      <c r="E147" s="76"/>
      <c r="F147" s="77"/>
      <c r="G147" s="78"/>
      <c r="H147" s="78"/>
      <c r="I147" s="78"/>
      <c r="J147" s="78"/>
      <c r="K147" s="77"/>
    </row>
    <row r="148" spans="1:11" s="79" customFormat="1" x14ac:dyDescent="0.45">
      <c r="A148" s="74"/>
      <c r="D148" s="80"/>
      <c r="E148" s="81"/>
      <c r="F148" s="81"/>
      <c r="G148" s="81"/>
      <c r="H148" s="81"/>
      <c r="I148" s="81"/>
      <c r="J148" s="81"/>
      <c r="K148" s="75"/>
    </row>
  </sheetData>
  <mergeCells count="32">
    <mergeCell ref="A1:K1"/>
    <mergeCell ref="A2:K2"/>
    <mergeCell ref="A3:K3"/>
    <mergeCell ref="A4:A6"/>
    <mergeCell ref="B4:B6"/>
    <mergeCell ref="C4:C6"/>
    <mergeCell ref="D4:D6"/>
    <mergeCell ref="E4:F4"/>
    <mergeCell ref="G4:J4"/>
    <mergeCell ref="K4:K6"/>
    <mergeCell ref="E5:E6"/>
    <mergeCell ref="F5:F6"/>
    <mergeCell ref="G5:H5"/>
    <mergeCell ref="I5:J5"/>
    <mergeCell ref="A8:K8"/>
    <mergeCell ref="A53:E53"/>
    <mergeCell ref="A60:E60"/>
    <mergeCell ref="A61:E61"/>
    <mergeCell ref="A54:E54"/>
    <mergeCell ref="A63:E63"/>
    <mergeCell ref="A74:E74"/>
    <mergeCell ref="A77:E77"/>
    <mergeCell ref="A75:E75"/>
    <mergeCell ref="A64:E64"/>
    <mergeCell ref="A78:E78"/>
    <mergeCell ref="A82:E82"/>
    <mergeCell ref="A146:E146"/>
    <mergeCell ref="A101:E101"/>
    <mergeCell ref="A104:E104"/>
    <mergeCell ref="A105:E105"/>
    <mergeCell ref="A102:E102"/>
    <mergeCell ref="A83:E83"/>
  </mergeCells>
  <pageMargins left="0.25" right="0.25" top="0.75" bottom="0.52" header="0.3" footer="0.3"/>
  <pageSetup paperSize="9" scale="70" orientation="portrait" r:id="rId1"/>
  <headerFooter>
    <oddFooter xml:space="preserve">&amp;C &amp;R  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26</vt:i4>
      </vt:variant>
    </vt:vector>
  </HeadingPairs>
  <TitlesOfParts>
    <vt:vector size="39" baseType="lpstr">
      <vt:lpstr>बिबिध  </vt:lpstr>
      <vt:lpstr>सिमा विकास कार्यक्रम ०७३  ०७४</vt:lpstr>
      <vt:lpstr>सिमा विकास कार्यक्रम ०७४ ०७५ </vt:lpstr>
      <vt:lpstr>संसोधित बाट संचालन हुने योजनाहर</vt:lpstr>
      <vt:lpstr>RUDP</vt:lpstr>
      <vt:lpstr>सडक बोर्ड नेपाल </vt:lpstr>
      <vt:lpstr>नगर क्षेत्र पूर्वाधार कार्यक्रम</vt:lpstr>
      <vt:lpstr>ठुला पूर्वाधार सम्बन्धी योजना </vt:lpstr>
      <vt:lpstr>प्रवर्धनात्मक </vt:lpstr>
      <vt:lpstr>पूर्वाधार </vt:lpstr>
      <vt:lpstr>पिछडा बर्ग </vt:lpstr>
      <vt:lpstr>बालबालिका </vt:lpstr>
      <vt:lpstr>महिला </vt:lpstr>
      <vt:lpstr>RUDP!Print_Area</vt:lpstr>
      <vt:lpstr>'ठुला पूर्वाधार सम्बन्धी योजना '!Print_Area</vt:lpstr>
      <vt:lpstr>'नगर क्षेत्र पूर्वाधार कार्यक्रम'!Print_Area</vt:lpstr>
      <vt:lpstr>'पिछडा बर्ग '!Print_Area</vt:lpstr>
      <vt:lpstr>'पूर्वाधार '!Print_Area</vt:lpstr>
      <vt:lpstr>'प्रवर्धनात्मक '!Print_Area</vt:lpstr>
      <vt:lpstr>'बालबालिका '!Print_Area</vt:lpstr>
      <vt:lpstr>'बिबिध  '!Print_Area</vt:lpstr>
      <vt:lpstr>'महिला '!Print_Area</vt:lpstr>
      <vt:lpstr>'संसोधित बाट संचालन हुने योजनाहर'!Print_Area</vt:lpstr>
      <vt:lpstr>'सडक बोर्ड नेपाल '!Print_Area</vt:lpstr>
      <vt:lpstr>'सिमा विकास कार्यक्रम ०७३  ०७४'!Print_Area</vt:lpstr>
      <vt:lpstr>'सिमा विकास कार्यक्रम ०७४ ०७५ '!Print_Area</vt:lpstr>
      <vt:lpstr>RUDP!Print_Titles</vt:lpstr>
      <vt:lpstr>'ठुला पूर्वाधार सम्बन्धी योजना '!Print_Titles</vt:lpstr>
      <vt:lpstr>'नगर क्षेत्र पूर्वाधार कार्यक्रम'!Print_Titles</vt:lpstr>
      <vt:lpstr>'पिछडा बर्ग '!Print_Titles</vt:lpstr>
      <vt:lpstr>'पूर्वाधार '!Print_Titles</vt:lpstr>
      <vt:lpstr>'प्रवर्धनात्मक '!Print_Titles</vt:lpstr>
      <vt:lpstr>'बालबालिका '!Print_Titles</vt:lpstr>
      <vt:lpstr>'बिबिध  '!Print_Titles</vt:lpstr>
      <vt:lpstr>'महिला '!Print_Titles</vt:lpstr>
      <vt:lpstr>'संसोधित बाट संचालन हुने योजनाहर'!Print_Titles</vt:lpstr>
      <vt:lpstr>'सडक बोर्ड नेपाल '!Print_Titles</vt:lpstr>
      <vt:lpstr>'सिमा विकास कार्यक्रम ०७३  ०७४'!Print_Titles</vt:lpstr>
      <vt:lpstr>'सिमा विकास कार्यक्रम ०७४ ०७५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Chakra</dc:creator>
  <cp:lastModifiedBy>user</cp:lastModifiedBy>
  <cp:lastPrinted>2017-02-06T09:35:44Z</cp:lastPrinted>
  <dcterms:created xsi:type="dcterms:W3CDTF">2014-07-21T05:07:56Z</dcterms:created>
  <dcterms:modified xsi:type="dcterms:W3CDTF">2017-02-10T04:52:01Z</dcterms:modified>
</cp:coreProperties>
</file>